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0785" tabRatio="457"/>
  </bookViews>
  <sheets>
    <sheet name="units" sheetId="8" r:id="rId1"/>
    <sheet name="Tables" sheetId="9" r:id="rId2"/>
    <sheet name="Description of columns " sheetId="10" r:id="rId3"/>
    <sheet name="stat_pri(sec)" sheetId="11" r:id="rId4"/>
    <sheet name="Лист6" sheetId="6" r:id="rId5"/>
    <sheet name="Лист1" sheetId="1" r:id="rId6"/>
    <sheet name="Лист2" sheetId="2" r:id="rId7"/>
    <sheet name="Лист3" sheetId="3" r:id="rId8"/>
    <sheet name="Лист4" sheetId="4" r:id="rId9"/>
    <sheet name="Лист7" sheetId="7" r:id="rId10"/>
  </sheets>
  <definedNames>
    <definedName name="_xlnm._FilterDatabase" localSheetId="0" hidden="1">units!$B$1:$BX$533</definedName>
  </definedNames>
  <calcPr calcId="152511"/>
</workbook>
</file>

<file path=xl/calcChain.xml><?xml version="1.0" encoding="utf-8"?>
<calcChain xmlns="http://schemas.openxmlformats.org/spreadsheetml/2006/main">
  <c r="AW37" i="8" l="1"/>
  <c r="AY34" i="8"/>
  <c r="AY33" i="8"/>
  <c r="BB33" i="8"/>
  <c r="BH35" i="8"/>
  <c r="AW508" i="8" l="1"/>
  <c r="BA508" i="8"/>
  <c r="BE508" i="8"/>
  <c r="BF508" i="8"/>
  <c r="BG508" i="8"/>
  <c r="AW487" i="8"/>
  <c r="BA487" i="8"/>
  <c r="BE487" i="8"/>
  <c r="BF487" i="8"/>
  <c r="BG487" i="8"/>
  <c r="AW505" i="8"/>
  <c r="BA505" i="8"/>
  <c r="BE505" i="8"/>
  <c r="BF505" i="8"/>
  <c r="BG505" i="8"/>
  <c r="AW506" i="8"/>
  <c r="BA506" i="8"/>
  <c r="BE506" i="8"/>
  <c r="BF506" i="8"/>
  <c r="BG506" i="8"/>
  <c r="AW507" i="8"/>
  <c r="BA507" i="8"/>
  <c r="BE507" i="8"/>
  <c r="BF507" i="8"/>
  <c r="BG507" i="8"/>
  <c r="BN528" i="8" l="1"/>
  <c r="BI528" i="8"/>
  <c r="BH528" i="8"/>
  <c r="BG528" i="8"/>
  <c r="BF528" i="8"/>
  <c r="BE528" i="8"/>
  <c r="BD528" i="8"/>
  <c r="BC528" i="8"/>
  <c r="BB528" i="8"/>
  <c r="AY528" i="8"/>
  <c r="AX528" i="8"/>
  <c r="BA528" i="8" s="1"/>
  <c r="AW528" i="8"/>
  <c r="J528" i="8"/>
  <c r="K528" i="8" s="1"/>
  <c r="L528" i="8" s="1"/>
  <c r="BN527" i="8"/>
  <c r="BI527" i="8"/>
  <c r="BH527" i="8"/>
  <c r="BG527" i="8"/>
  <c r="BF527" i="8"/>
  <c r="BE527" i="8"/>
  <c r="BD527" i="8"/>
  <c r="BC527" i="8"/>
  <c r="BB527" i="8"/>
  <c r="AY527" i="8"/>
  <c r="AX527" i="8"/>
  <c r="BA527" i="8" s="1"/>
  <c r="AW527" i="8"/>
  <c r="J527" i="8"/>
  <c r="M527" i="8" s="1"/>
  <c r="BN526" i="8"/>
  <c r="BI526" i="8"/>
  <c r="BH526" i="8"/>
  <c r="BG526" i="8"/>
  <c r="BF526" i="8"/>
  <c r="BE526" i="8"/>
  <c r="BD526" i="8"/>
  <c r="BC526" i="8"/>
  <c r="BB526" i="8"/>
  <c r="AY526" i="8"/>
  <c r="AX526" i="8"/>
  <c r="AW526" i="8"/>
  <c r="J526" i="8"/>
  <c r="M526" i="8" s="1"/>
  <c r="BN525" i="8"/>
  <c r="BI525" i="8"/>
  <c r="BH525" i="8"/>
  <c r="BG525" i="8"/>
  <c r="BF525" i="8"/>
  <c r="BE525" i="8"/>
  <c r="BD525" i="8"/>
  <c r="BC525" i="8"/>
  <c r="BB525" i="8"/>
  <c r="AY525" i="8"/>
  <c r="AX525" i="8"/>
  <c r="AW525" i="8"/>
  <c r="J525" i="8"/>
  <c r="M525" i="8" s="1"/>
  <c r="BN524" i="8"/>
  <c r="BI524" i="8"/>
  <c r="BH524" i="8"/>
  <c r="BG524" i="8"/>
  <c r="BF524" i="8"/>
  <c r="BE524" i="8"/>
  <c r="BD524" i="8"/>
  <c r="BC524" i="8"/>
  <c r="BB524" i="8"/>
  <c r="AY524" i="8"/>
  <c r="AX524" i="8"/>
  <c r="BA524" i="8" s="1"/>
  <c r="AW524" i="8"/>
  <c r="J524" i="8"/>
  <c r="M524" i="8" s="1"/>
  <c r="BN523" i="8"/>
  <c r="BI523" i="8"/>
  <c r="BH523" i="8"/>
  <c r="BG523" i="8"/>
  <c r="BF523" i="8"/>
  <c r="BE523" i="8"/>
  <c r="BD523" i="8"/>
  <c r="BC523" i="8"/>
  <c r="BB523" i="8"/>
  <c r="AY523" i="8"/>
  <c r="AX523" i="8"/>
  <c r="BA523" i="8" s="1"/>
  <c r="AW523" i="8"/>
  <c r="J523" i="8"/>
  <c r="K523" i="8" s="1"/>
  <c r="L523" i="8" s="1"/>
  <c r="BN522" i="8"/>
  <c r="BI522" i="8"/>
  <c r="BH522" i="8"/>
  <c r="BG522" i="8"/>
  <c r="BF522" i="8"/>
  <c r="BE522" i="8"/>
  <c r="BD522" i="8"/>
  <c r="BC522" i="8"/>
  <c r="BB522" i="8"/>
  <c r="AY522" i="8"/>
  <c r="AX522" i="8"/>
  <c r="AW522" i="8"/>
  <c r="J522" i="8"/>
  <c r="M522" i="8" s="1"/>
  <c r="BN521" i="8"/>
  <c r="BI521" i="8"/>
  <c r="BH521" i="8"/>
  <c r="BG521" i="8"/>
  <c r="BF521" i="8"/>
  <c r="BE521" i="8"/>
  <c r="BD521" i="8"/>
  <c r="BC521" i="8"/>
  <c r="BB521" i="8"/>
  <c r="AY521" i="8"/>
  <c r="AX521" i="8"/>
  <c r="AW521" i="8"/>
  <c r="J521" i="8"/>
  <c r="M521" i="8" s="1"/>
  <c r="BN520" i="8"/>
  <c r="BI520" i="8"/>
  <c r="BH520" i="8"/>
  <c r="BG520" i="8"/>
  <c r="BF520" i="8"/>
  <c r="BE520" i="8"/>
  <c r="BD520" i="8"/>
  <c r="BC520" i="8"/>
  <c r="BB520" i="8"/>
  <c r="AY520" i="8"/>
  <c r="AX520" i="8"/>
  <c r="BA520" i="8" s="1"/>
  <c r="AW520" i="8"/>
  <c r="J520" i="8"/>
  <c r="K520" i="8" s="1"/>
  <c r="L520" i="8" s="1"/>
  <c r="BN519" i="8"/>
  <c r="BI519" i="8"/>
  <c r="BH519" i="8"/>
  <c r="BG519" i="8"/>
  <c r="BF519" i="8"/>
  <c r="BE519" i="8"/>
  <c r="BD519" i="8"/>
  <c r="BC519" i="8"/>
  <c r="BB519" i="8"/>
  <c r="AY519" i="8"/>
  <c r="AX519" i="8"/>
  <c r="BA519" i="8" s="1"/>
  <c r="AW519" i="8"/>
  <c r="J519" i="8"/>
  <c r="K519" i="8" s="1"/>
  <c r="L519" i="8" s="1"/>
  <c r="BN518" i="8"/>
  <c r="BI518" i="8"/>
  <c r="BH518" i="8"/>
  <c r="BG518" i="8"/>
  <c r="BF518" i="8"/>
  <c r="BE518" i="8"/>
  <c r="BD518" i="8"/>
  <c r="BC518" i="8"/>
  <c r="BB518" i="8"/>
  <c r="AY518" i="8"/>
  <c r="AX518" i="8"/>
  <c r="BA518" i="8" s="1"/>
  <c r="AW518" i="8"/>
  <c r="J518" i="8"/>
  <c r="K518" i="8" s="1"/>
  <c r="L518" i="8" s="1"/>
  <c r="BN517" i="8"/>
  <c r="BI517" i="8"/>
  <c r="BH517" i="8"/>
  <c r="BG517" i="8"/>
  <c r="BF517" i="8"/>
  <c r="BE517" i="8"/>
  <c r="BD517" i="8"/>
  <c r="BC517" i="8"/>
  <c r="BB517" i="8"/>
  <c r="AY517" i="8"/>
  <c r="AX517" i="8"/>
  <c r="AW517" i="8"/>
  <c r="J517" i="8"/>
  <c r="M517" i="8" s="1"/>
  <c r="BN516" i="8"/>
  <c r="BI516" i="8"/>
  <c r="BH516" i="8"/>
  <c r="BG516" i="8"/>
  <c r="BF516" i="8"/>
  <c r="BE516" i="8"/>
  <c r="BD516" i="8"/>
  <c r="BC516" i="8"/>
  <c r="BB516" i="8"/>
  <c r="AY516" i="8"/>
  <c r="AX516" i="8"/>
  <c r="AW516" i="8"/>
  <c r="J516" i="8"/>
  <c r="M516" i="8" s="1"/>
  <c r="BN515" i="8"/>
  <c r="BI515" i="8"/>
  <c r="BH515" i="8"/>
  <c r="BG515" i="8"/>
  <c r="BF515" i="8"/>
  <c r="BE515" i="8"/>
  <c r="BD515" i="8"/>
  <c r="BC515" i="8"/>
  <c r="BB515" i="8"/>
  <c r="AY515" i="8"/>
  <c r="AX515" i="8"/>
  <c r="BA515" i="8" s="1"/>
  <c r="AW515" i="8"/>
  <c r="J515" i="8"/>
  <c r="K515" i="8" s="1"/>
  <c r="L515" i="8" s="1"/>
  <c r="BN514" i="8"/>
  <c r="BI514" i="8"/>
  <c r="BH514" i="8"/>
  <c r="BG514" i="8"/>
  <c r="BF514" i="8"/>
  <c r="BE514" i="8"/>
  <c r="BD514" i="8"/>
  <c r="BC514" i="8"/>
  <c r="BB514" i="8"/>
  <c r="AY514" i="8"/>
  <c r="AX514" i="8"/>
  <c r="AW514" i="8"/>
  <c r="J514" i="8"/>
  <c r="M514" i="8" s="1"/>
  <c r="BN513" i="8"/>
  <c r="BI513" i="8"/>
  <c r="BH513" i="8"/>
  <c r="BG513" i="8"/>
  <c r="BF513" i="8"/>
  <c r="BE513" i="8"/>
  <c r="BD513" i="8"/>
  <c r="BC513" i="8"/>
  <c r="BB513" i="8"/>
  <c r="AY513" i="8"/>
  <c r="AX513" i="8"/>
  <c r="AW513" i="8"/>
  <c r="J513" i="8"/>
  <c r="M513" i="8" s="1"/>
  <c r="BN512" i="8"/>
  <c r="BI512" i="8"/>
  <c r="BH512" i="8"/>
  <c r="BG512" i="8"/>
  <c r="BF512" i="8"/>
  <c r="BE512" i="8"/>
  <c r="BD512" i="8"/>
  <c r="BC512" i="8"/>
  <c r="BB512" i="8"/>
  <c r="AY512" i="8"/>
  <c r="AX512" i="8"/>
  <c r="BA512" i="8" s="1"/>
  <c r="AW512" i="8"/>
  <c r="J512" i="8"/>
  <c r="K512" i="8" s="1"/>
  <c r="L512" i="8" s="1"/>
  <c r="BN511" i="8"/>
  <c r="BI511" i="8"/>
  <c r="BH511" i="8"/>
  <c r="BG511" i="8"/>
  <c r="BF511" i="8"/>
  <c r="BE511" i="8"/>
  <c r="BD511" i="8"/>
  <c r="BC511" i="8"/>
  <c r="BB511" i="8"/>
  <c r="AY511" i="8"/>
  <c r="AX511" i="8"/>
  <c r="AW511" i="8"/>
  <c r="J511" i="8"/>
  <c r="K511" i="8" s="1"/>
  <c r="L511" i="8" s="1"/>
  <c r="BN510" i="8"/>
  <c r="BI510" i="8"/>
  <c r="BH510" i="8"/>
  <c r="BG510" i="8"/>
  <c r="BF510" i="8"/>
  <c r="BE510" i="8"/>
  <c r="BD510" i="8"/>
  <c r="BC510" i="8"/>
  <c r="BB510" i="8"/>
  <c r="AY510" i="8"/>
  <c r="AX510" i="8"/>
  <c r="AW510" i="8"/>
  <c r="J510" i="8"/>
  <c r="M510" i="8" s="1"/>
  <c r="AW490" i="8"/>
  <c r="AW491" i="8"/>
  <c r="AW492" i="8"/>
  <c r="AW493" i="8"/>
  <c r="AW494" i="8"/>
  <c r="AW495" i="8"/>
  <c r="AW496" i="8"/>
  <c r="AW497" i="8"/>
  <c r="BA490" i="8"/>
  <c r="BA491" i="8"/>
  <c r="BA492" i="8"/>
  <c r="BA493" i="8"/>
  <c r="BA494" i="8"/>
  <c r="BA495" i="8"/>
  <c r="BA496" i="8"/>
  <c r="BA497" i="8"/>
  <c r="BE490" i="8"/>
  <c r="BE491" i="8"/>
  <c r="BE492" i="8"/>
  <c r="BE493" i="8"/>
  <c r="BE494" i="8"/>
  <c r="BE495" i="8"/>
  <c r="BE496" i="8"/>
  <c r="BE497" i="8"/>
  <c r="BF490" i="8"/>
  <c r="BF491" i="8"/>
  <c r="BF492" i="8"/>
  <c r="BF493" i="8"/>
  <c r="BF494" i="8"/>
  <c r="BF495" i="8"/>
  <c r="BF496" i="8"/>
  <c r="BF497" i="8"/>
  <c r="BG490" i="8"/>
  <c r="BG491" i="8"/>
  <c r="BG492" i="8"/>
  <c r="BG493" i="8"/>
  <c r="BG494" i="8"/>
  <c r="BG495" i="8"/>
  <c r="BG496" i="8"/>
  <c r="BG497" i="8"/>
  <c r="AW498" i="8"/>
  <c r="AW499" i="8"/>
  <c r="AW500" i="8"/>
  <c r="BA498" i="8"/>
  <c r="BA499" i="8"/>
  <c r="BA500" i="8"/>
  <c r="BE498" i="8"/>
  <c r="BE499" i="8"/>
  <c r="BE500" i="8"/>
  <c r="BF498" i="8"/>
  <c r="BF499" i="8"/>
  <c r="BF500" i="8"/>
  <c r="BG498" i="8"/>
  <c r="BG499" i="8"/>
  <c r="BG500" i="8"/>
  <c r="BI488" i="8"/>
  <c r="BI489" i="8"/>
  <c r="BH488" i="8"/>
  <c r="BH489" i="8"/>
  <c r="BG488" i="8"/>
  <c r="BG489" i="8"/>
  <c r="BF488" i="8"/>
  <c r="BF489" i="8"/>
  <c r="BE488" i="8"/>
  <c r="BE489" i="8"/>
  <c r="BD488" i="8"/>
  <c r="BD489" i="8"/>
  <c r="BC488" i="8"/>
  <c r="BC489" i="8"/>
  <c r="BB488" i="8"/>
  <c r="BB489" i="8"/>
  <c r="AY488" i="8"/>
  <c r="AY489" i="8"/>
  <c r="AX488" i="8"/>
  <c r="AX489" i="8"/>
  <c r="BA489" i="8" s="1"/>
  <c r="BN488" i="8"/>
  <c r="BN489" i="8"/>
  <c r="J488" i="8"/>
  <c r="M488" i="8" s="1"/>
  <c r="J489" i="8"/>
  <c r="M489" i="8" s="1"/>
  <c r="AZ516" i="8" l="1"/>
  <c r="BA516" i="8" s="1"/>
  <c r="BJ528" i="8"/>
  <c r="AZ526" i="8"/>
  <c r="BA526" i="8" s="1"/>
  <c r="AZ528" i="8"/>
  <c r="AZ512" i="8"/>
  <c r="BJ527" i="8"/>
  <c r="AZ517" i="8"/>
  <c r="BA517" i="8" s="1"/>
  <c r="BJ526" i="8"/>
  <c r="AZ524" i="8"/>
  <c r="AZ513" i="8"/>
  <c r="BA513" i="8" s="1"/>
  <c r="AZ521" i="8"/>
  <c r="BA521" i="8" s="1"/>
  <c r="AZ510" i="8"/>
  <c r="BA510" i="8" s="1"/>
  <c r="AZ515" i="8"/>
  <c r="AZ520" i="8"/>
  <c r="AZ525" i="8"/>
  <c r="BA525" i="8" s="1"/>
  <c r="BJ519" i="8"/>
  <c r="K510" i="8"/>
  <c r="L510" i="8" s="1"/>
  <c r="M511" i="8"/>
  <c r="M512" i="8"/>
  <c r="K517" i="8"/>
  <c r="L517" i="8" s="1"/>
  <c r="M520" i="8"/>
  <c r="BJ511" i="8"/>
  <c r="BJ516" i="8"/>
  <c r="K514" i="8"/>
  <c r="L514" i="8" s="1"/>
  <c r="BJ515" i="8"/>
  <c r="BJ517" i="8"/>
  <c r="BJ518" i="8"/>
  <c r="BJ520" i="8"/>
  <c r="BJ521" i="8"/>
  <c r="K526" i="8"/>
  <c r="L526" i="8" s="1"/>
  <c r="K527" i="8"/>
  <c r="L527" i="8" s="1"/>
  <c r="BJ510" i="8"/>
  <c r="M528" i="8"/>
  <c r="AZ514" i="8"/>
  <c r="BA514" i="8" s="1"/>
  <c r="M518" i="8"/>
  <c r="AZ519" i="8"/>
  <c r="AZ522" i="8"/>
  <c r="BA522" i="8" s="1"/>
  <c r="AZ511" i="8"/>
  <c r="BA511" i="8" s="1"/>
  <c r="BJ512" i="8"/>
  <c r="BJ513" i="8"/>
  <c r="BJ514" i="8"/>
  <c r="AZ518" i="8"/>
  <c r="M519" i="8"/>
  <c r="K522" i="8"/>
  <c r="L522" i="8" s="1"/>
  <c r="BJ522" i="8"/>
  <c r="AZ523" i="8"/>
  <c r="BJ523" i="8"/>
  <c r="BJ524" i="8"/>
  <c r="BJ525" i="8"/>
  <c r="AZ527" i="8"/>
  <c r="K513" i="8"/>
  <c r="L513" i="8" s="1"/>
  <c r="M515" i="8"/>
  <c r="K521" i="8"/>
  <c r="L521" i="8" s="1"/>
  <c r="M523" i="8"/>
  <c r="K516" i="8"/>
  <c r="L516" i="8" s="1"/>
  <c r="K524" i="8"/>
  <c r="L524" i="8" s="1"/>
  <c r="K525" i="8"/>
  <c r="L525" i="8" s="1"/>
  <c r="BJ488" i="8"/>
  <c r="BJ489" i="8"/>
  <c r="BA488" i="8"/>
  <c r="K489" i="8"/>
  <c r="L489" i="8" s="1"/>
  <c r="K488" i="8"/>
  <c r="L488" i="8" s="1"/>
  <c r="AW319" i="8"/>
  <c r="BA319" i="8"/>
  <c r="BE319" i="8"/>
  <c r="BF319" i="8"/>
  <c r="BG319" i="8"/>
  <c r="AW488" i="8"/>
  <c r="AZ488" i="8" s="1"/>
  <c r="AW489" i="8"/>
  <c r="AZ489" i="8" s="1"/>
  <c r="BA531" i="8"/>
  <c r="BH472" i="8" l="1"/>
  <c r="BH350" i="8"/>
  <c r="BH349" i="8"/>
  <c r="BH339" i="8"/>
  <c r="BH471" i="8"/>
  <c r="BH338" i="8"/>
  <c r="BH343" i="8"/>
  <c r="BH340" i="8"/>
  <c r="BH341" i="8"/>
  <c r="BH351" i="8"/>
  <c r="BH473" i="8"/>
  <c r="BH61" i="8"/>
  <c r="BH112" i="8"/>
  <c r="BH113" i="8"/>
  <c r="BH176" i="8"/>
  <c r="BH177" i="8"/>
  <c r="BH253" i="8"/>
  <c r="BH266" i="8"/>
  <c r="BH279" i="8"/>
  <c r="BH290" i="8"/>
  <c r="BH391" i="8"/>
  <c r="BH420" i="8"/>
  <c r="BH432" i="8"/>
  <c r="BH446" i="8"/>
  <c r="BH342" i="8"/>
  <c r="BH458" i="8"/>
  <c r="BI146" i="8"/>
  <c r="AY122" i="8"/>
  <c r="AY301" i="8"/>
  <c r="AY250" i="8"/>
  <c r="AY28" i="8"/>
  <c r="BH475" i="8"/>
  <c r="BH474" i="8"/>
  <c r="BH509" i="8"/>
  <c r="BH502" i="8"/>
  <c r="BH503" i="8"/>
  <c r="BH504" i="8"/>
  <c r="BH501" i="8"/>
  <c r="BH318" i="8"/>
  <c r="BH317" i="8"/>
  <c r="BH316" i="8"/>
  <c r="BH315" i="8"/>
  <c r="BH486" i="8"/>
  <c r="BH485" i="8"/>
  <c r="BH484" i="8"/>
  <c r="BH483" i="8"/>
  <c r="BH482" i="8"/>
  <c r="BH481" i="8"/>
  <c r="BH480" i="8"/>
  <c r="BH479" i="8"/>
  <c r="BH478" i="8"/>
  <c r="BH477" i="8"/>
  <c r="BH470" i="8"/>
  <c r="BH469" i="8"/>
  <c r="BH468" i="8"/>
  <c r="BH467" i="8"/>
  <c r="BH466" i="8"/>
  <c r="BH465" i="8"/>
  <c r="BH464" i="8"/>
  <c r="BH463" i="8"/>
  <c r="BH462" i="8"/>
  <c r="BH461" i="8"/>
  <c r="BH460" i="8"/>
  <c r="BH459" i="8"/>
  <c r="BH457" i="8"/>
  <c r="BH456" i="8"/>
  <c r="BH455" i="8"/>
  <c r="BH454" i="8"/>
  <c r="BH453" i="8"/>
  <c r="BH452" i="8"/>
  <c r="BH451" i="8"/>
  <c r="BH450" i="8"/>
  <c r="BH449" i="8"/>
  <c r="BH448" i="8"/>
  <c r="BH447" i="8"/>
  <c r="BH445" i="8"/>
  <c r="BH444" i="8"/>
  <c r="BH443" i="8"/>
  <c r="BH442" i="8"/>
  <c r="BH441" i="8"/>
  <c r="BH440" i="8"/>
  <c r="BH439" i="8"/>
  <c r="BH438" i="8"/>
  <c r="BH437" i="8"/>
  <c r="BH436" i="8"/>
  <c r="BH435" i="8"/>
  <c r="BH434" i="8"/>
  <c r="BH433" i="8"/>
  <c r="BH431" i="8"/>
  <c r="BH430" i="8"/>
  <c r="BH429" i="8"/>
  <c r="BH428" i="8"/>
  <c r="BH427" i="8"/>
  <c r="BH426" i="8"/>
  <c r="BH425" i="8"/>
  <c r="BH424" i="8"/>
  <c r="BH423" i="8"/>
  <c r="BH422" i="8"/>
  <c r="BH421" i="8"/>
  <c r="BH419" i="8"/>
  <c r="BH418" i="8"/>
  <c r="BH417" i="8"/>
  <c r="BH416" i="8"/>
  <c r="BH415" i="8"/>
  <c r="BH414" i="8"/>
  <c r="BH413" i="8"/>
  <c r="BH412" i="8"/>
  <c r="BH411" i="8"/>
  <c r="BH410" i="8"/>
  <c r="BH409" i="8"/>
  <c r="BH408" i="8"/>
  <c r="BH407" i="8"/>
  <c r="BH406" i="8"/>
  <c r="BH405" i="8"/>
  <c r="BH404" i="8"/>
  <c r="BH403" i="8"/>
  <c r="BH402" i="8"/>
  <c r="BH401" i="8"/>
  <c r="BH400" i="8"/>
  <c r="BH399" i="8"/>
  <c r="BH398" i="8"/>
  <c r="BH397" i="8"/>
  <c r="BH396" i="8"/>
  <c r="BH395" i="8"/>
  <c r="BH394" i="8"/>
  <c r="BH393" i="8"/>
  <c r="BH392" i="8"/>
  <c r="BH390" i="8"/>
  <c r="BH389" i="8"/>
  <c r="BH388" i="8"/>
  <c r="BH387" i="8"/>
  <c r="BH386" i="8"/>
  <c r="BH385" i="8"/>
  <c r="BH384" i="8"/>
  <c r="BH383" i="8"/>
  <c r="BH382" i="8"/>
  <c r="BH381" i="8"/>
  <c r="BH380" i="8"/>
  <c r="BH379" i="8"/>
  <c r="BH378" i="8"/>
  <c r="BH377" i="8"/>
  <c r="BH376" i="8"/>
  <c r="BH375" i="8"/>
  <c r="BH374" i="8"/>
  <c r="BH373" i="8"/>
  <c r="BH372" i="8"/>
  <c r="BH371" i="8"/>
  <c r="BH370" i="8"/>
  <c r="BH369" i="8"/>
  <c r="BH368" i="8"/>
  <c r="BH367" i="8"/>
  <c r="BH366" i="8"/>
  <c r="BH365" i="8"/>
  <c r="BH364" i="8"/>
  <c r="BH363" i="8"/>
  <c r="BH362" i="8"/>
  <c r="BH361" i="8"/>
  <c r="BH360" i="8"/>
  <c r="BH359" i="8"/>
  <c r="BH358" i="8"/>
  <c r="BH357" i="8"/>
  <c r="BH356" i="8"/>
  <c r="BH355" i="8"/>
  <c r="BH354" i="8"/>
  <c r="BH353" i="8"/>
  <c r="BH352" i="8"/>
  <c r="BH348" i="8"/>
  <c r="BH347" i="8"/>
  <c r="BH346" i="8"/>
  <c r="BH345" i="8"/>
  <c r="BH344" i="8"/>
  <c r="BH337" i="8"/>
  <c r="BH336" i="8"/>
  <c r="BH335" i="8"/>
  <c r="BH334" i="8"/>
  <c r="BH333" i="8"/>
  <c r="BH332" i="8"/>
  <c r="BH331" i="8"/>
  <c r="BH330" i="8"/>
  <c r="BH329" i="8"/>
  <c r="BH328" i="8"/>
  <c r="BH327" i="8"/>
  <c r="BH326" i="8"/>
  <c r="BH325" i="8"/>
  <c r="BH324" i="8"/>
  <c r="BH323" i="8"/>
  <c r="BH322" i="8"/>
  <c r="BH476" i="8"/>
  <c r="BH320" i="8"/>
  <c r="BH314" i="8"/>
  <c r="BH313" i="8"/>
  <c r="BH312" i="8"/>
  <c r="BH311" i="8"/>
  <c r="BH310" i="8"/>
  <c r="BH309" i="8"/>
  <c r="BH308" i="8"/>
  <c r="BH307" i="8"/>
  <c r="BH306" i="8"/>
  <c r="BH305" i="8"/>
  <c r="BH304" i="8"/>
  <c r="BH303" i="8"/>
  <c r="BH302" i="8"/>
  <c r="BH301" i="8"/>
  <c r="BH300" i="8"/>
  <c r="BH299" i="8"/>
  <c r="BH298" i="8"/>
  <c r="BH297" i="8"/>
  <c r="BH296" i="8"/>
  <c r="BH295" i="8"/>
  <c r="BH294" i="8"/>
  <c r="BH293" i="8"/>
  <c r="BH292" i="8"/>
  <c r="BH291" i="8"/>
  <c r="BH289" i="8"/>
  <c r="BH288" i="8"/>
  <c r="BH287" i="8"/>
  <c r="BH286" i="8"/>
  <c r="BH285" i="8"/>
  <c r="BH284" i="8"/>
  <c r="BH283" i="8"/>
  <c r="BH282" i="8"/>
  <c r="BH281" i="8"/>
  <c r="BH280" i="8"/>
  <c r="BH278" i="8"/>
  <c r="BH277" i="8"/>
  <c r="BH276" i="8"/>
  <c r="BH275" i="8"/>
  <c r="BH274" i="8"/>
  <c r="BH273" i="8"/>
  <c r="BH272" i="8"/>
  <c r="BH271" i="8"/>
  <c r="BH270" i="8"/>
  <c r="BH269" i="8"/>
  <c r="BH268" i="8"/>
  <c r="BH267" i="8"/>
  <c r="BH265" i="8"/>
  <c r="BH264" i="8"/>
  <c r="BH263" i="8"/>
  <c r="BH262" i="8"/>
  <c r="BH261" i="8"/>
  <c r="BH260" i="8"/>
  <c r="BH259" i="8"/>
  <c r="BH258" i="8"/>
  <c r="BH257" i="8"/>
  <c r="BH256" i="8"/>
  <c r="BH255" i="8"/>
  <c r="BH254" i="8"/>
  <c r="BH252" i="8"/>
  <c r="BH251" i="8"/>
  <c r="BH250" i="8"/>
  <c r="BH249" i="8"/>
  <c r="BH248" i="8"/>
  <c r="BH247" i="8"/>
  <c r="BH246" i="8"/>
  <c r="BH245" i="8"/>
  <c r="BH244" i="8"/>
  <c r="BH243" i="8"/>
  <c r="BH242" i="8"/>
  <c r="BH241" i="8"/>
  <c r="BH240" i="8"/>
  <c r="BH239" i="8"/>
  <c r="BH238" i="8"/>
  <c r="BH237" i="8"/>
  <c r="BH236" i="8"/>
  <c r="BH235" i="8"/>
  <c r="BH234" i="8"/>
  <c r="BH233" i="8"/>
  <c r="BH232" i="8"/>
  <c r="BH231" i="8"/>
  <c r="BH230" i="8"/>
  <c r="BH229" i="8"/>
  <c r="BH228" i="8"/>
  <c r="BH227" i="8"/>
  <c r="BH226" i="8"/>
  <c r="BH225" i="8"/>
  <c r="BH224" i="8"/>
  <c r="BH223" i="8"/>
  <c r="BH222" i="8"/>
  <c r="BH221" i="8"/>
  <c r="BH220" i="8"/>
  <c r="BH219" i="8"/>
  <c r="BH218" i="8"/>
  <c r="BH217" i="8"/>
  <c r="BH216" i="8"/>
  <c r="BH215" i="8"/>
  <c r="BH214" i="8"/>
  <c r="BH213" i="8"/>
  <c r="BH212" i="8"/>
  <c r="BH211" i="8"/>
  <c r="BH210" i="8"/>
  <c r="BH209" i="8"/>
  <c r="BH208" i="8"/>
  <c r="BH207" i="8"/>
  <c r="BH206" i="8"/>
  <c r="BH205" i="8"/>
  <c r="BH204" i="8"/>
  <c r="BH203" i="8"/>
  <c r="BH202" i="8"/>
  <c r="BH201" i="8"/>
  <c r="BH200" i="8"/>
  <c r="BH199" i="8"/>
  <c r="BH198" i="8"/>
  <c r="BH197" i="8"/>
  <c r="BH196" i="8"/>
  <c r="BH195" i="8"/>
  <c r="BH194" i="8"/>
  <c r="BH193" i="8"/>
  <c r="BH192" i="8"/>
  <c r="BH191" i="8"/>
  <c r="BH190" i="8"/>
  <c r="BH189" i="8"/>
  <c r="BH188" i="8"/>
  <c r="BH187" i="8"/>
  <c r="BH186" i="8"/>
  <c r="BH185" i="8"/>
  <c r="BH184" i="8"/>
  <c r="BH183" i="8"/>
  <c r="BH182" i="8"/>
  <c r="BH181" i="8"/>
  <c r="BH180" i="8"/>
  <c r="BH179" i="8"/>
  <c r="BH178" i="8"/>
  <c r="BH175" i="8"/>
  <c r="BH174" i="8"/>
  <c r="BH173" i="8"/>
  <c r="BH172" i="8"/>
  <c r="BH171" i="8"/>
  <c r="BH170" i="8"/>
  <c r="BH169" i="8"/>
  <c r="BH168" i="8"/>
  <c r="BH167" i="8"/>
  <c r="BH166" i="8"/>
  <c r="BH165" i="8"/>
  <c r="BH164" i="8"/>
  <c r="BH163" i="8"/>
  <c r="BH162" i="8"/>
  <c r="BH161" i="8"/>
  <c r="BH160" i="8"/>
  <c r="BH159" i="8"/>
  <c r="BH158" i="8"/>
  <c r="BH157" i="8"/>
  <c r="BH156" i="8"/>
  <c r="BH155" i="8"/>
  <c r="BH154" i="8"/>
  <c r="BH153" i="8"/>
  <c r="BH152" i="8"/>
  <c r="BH151" i="8"/>
  <c r="BH150" i="8"/>
  <c r="BH149" i="8"/>
  <c r="BH148" i="8"/>
  <c r="BH147" i="8"/>
  <c r="BH146" i="8"/>
  <c r="BH145" i="8"/>
  <c r="BH144" i="8"/>
  <c r="BH143" i="8"/>
  <c r="BH142" i="8"/>
  <c r="BH141" i="8"/>
  <c r="BH140" i="8"/>
  <c r="BH139" i="8"/>
  <c r="BH138" i="8"/>
  <c r="BH137" i="8"/>
  <c r="BH136" i="8"/>
  <c r="BH135" i="8"/>
  <c r="BH134" i="8"/>
  <c r="BH133" i="8"/>
  <c r="BH132" i="8"/>
  <c r="BH131" i="8"/>
  <c r="BH130" i="8"/>
  <c r="BH129" i="8"/>
  <c r="BH128" i="8"/>
  <c r="BH127" i="8"/>
  <c r="BH126" i="8"/>
  <c r="BH125" i="8"/>
  <c r="BH124" i="8"/>
  <c r="BH123" i="8"/>
  <c r="BH122" i="8"/>
  <c r="BH121" i="8"/>
  <c r="BH120" i="8"/>
  <c r="BH119" i="8"/>
  <c r="BH118" i="8"/>
  <c r="BH117" i="8"/>
  <c r="BH116" i="8"/>
  <c r="BH115" i="8"/>
  <c r="BH114" i="8"/>
  <c r="BH111" i="8"/>
  <c r="BH110" i="8"/>
  <c r="BH109" i="8"/>
  <c r="BH108" i="8"/>
  <c r="BH107" i="8"/>
  <c r="BH106" i="8"/>
  <c r="BH105" i="8"/>
  <c r="BH104" i="8"/>
  <c r="BH103" i="8"/>
  <c r="BH102" i="8"/>
  <c r="BH101" i="8"/>
  <c r="BH100" i="8"/>
  <c r="BH99" i="8"/>
  <c r="BH98" i="8"/>
  <c r="BH97" i="8"/>
  <c r="BH96" i="8"/>
  <c r="BH95" i="8"/>
  <c r="BH94" i="8"/>
  <c r="BH93" i="8"/>
  <c r="BH92" i="8"/>
  <c r="BH91" i="8"/>
  <c r="BH90" i="8"/>
  <c r="BH89" i="8"/>
  <c r="BH88" i="8"/>
  <c r="BH87" i="8"/>
  <c r="BH86" i="8"/>
  <c r="BH85" i="8"/>
  <c r="BH84" i="8"/>
  <c r="BH83" i="8"/>
  <c r="BH82" i="8"/>
  <c r="BH81" i="8"/>
  <c r="BH80" i="8"/>
  <c r="BH79" i="8"/>
  <c r="BH78" i="8"/>
  <c r="BH77" i="8"/>
  <c r="BH76" i="8"/>
  <c r="BH75" i="8"/>
  <c r="BH74" i="8"/>
  <c r="BH73" i="8"/>
  <c r="BH72" i="8"/>
  <c r="BH71" i="8"/>
  <c r="BH70" i="8"/>
  <c r="BH69" i="8"/>
  <c r="BH68" i="8"/>
  <c r="BH67" i="8"/>
  <c r="BH66" i="8"/>
  <c r="BH65" i="8"/>
  <c r="BH64" i="8"/>
  <c r="BH63" i="8"/>
  <c r="BH62" i="8"/>
  <c r="BH60" i="8"/>
  <c r="BH59" i="8"/>
  <c r="BH58" i="8"/>
  <c r="BH57" i="8"/>
  <c r="BH56" i="8"/>
  <c r="BH55" i="8"/>
  <c r="BH54" i="8"/>
  <c r="BH53" i="8"/>
  <c r="BH52" i="8"/>
  <c r="BH51" i="8"/>
  <c r="BH50" i="8"/>
  <c r="BH49" i="8"/>
  <c r="BH48" i="8"/>
  <c r="BH47" i="8"/>
  <c r="BH46" i="8"/>
  <c r="BH45" i="8"/>
  <c r="BH44" i="8"/>
  <c r="BH43" i="8"/>
  <c r="BH42" i="8"/>
  <c r="BH41" i="8"/>
  <c r="BH40" i="8"/>
  <c r="BH39" i="8"/>
  <c r="BH38" i="8"/>
  <c r="BH37" i="8"/>
  <c r="BH36" i="8"/>
  <c r="BH34" i="8"/>
  <c r="BH33" i="8"/>
  <c r="BH32" i="8"/>
  <c r="BH31" i="8"/>
  <c r="BH30" i="8"/>
  <c r="BH29" i="8"/>
  <c r="BH28" i="8"/>
  <c r="BH27" i="8"/>
  <c r="BH26" i="8"/>
  <c r="BH25" i="8"/>
  <c r="BH24" i="8"/>
  <c r="AW32" i="8" l="1"/>
  <c r="BN502" i="8" l="1"/>
  <c r="BI502" i="8"/>
  <c r="BG502" i="8"/>
  <c r="BF502" i="8"/>
  <c r="BE502" i="8"/>
  <c r="BD502" i="8"/>
  <c r="BC502" i="8"/>
  <c r="BB502" i="8"/>
  <c r="AY502" i="8"/>
  <c r="AX502" i="8"/>
  <c r="AW502" i="8"/>
  <c r="J502" i="8"/>
  <c r="K502" i="8" s="1"/>
  <c r="L502" i="8" s="1"/>
  <c r="BN504" i="8"/>
  <c r="BI504" i="8"/>
  <c r="BG504" i="8"/>
  <c r="BF504" i="8"/>
  <c r="BE504" i="8"/>
  <c r="BD504" i="8"/>
  <c r="BC504" i="8"/>
  <c r="BB504" i="8"/>
  <c r="AY504" i="8"/>
  <c r="AX504" i="8"/>
  <c r="AW504" i="8"/>
  <c r="J504" i="8"/>
  <c r="K504" i="8" s="1"/>
  <c r="L504" i="8" s="1"/>
  <c r="J379" i="8"/>
  <c r="K379" i="8" s="1"/>
  <c r="L379" i="8" s="1"/>
  <c r="AW379" i="8"/>
  <c r="AX379" i="8"/>
  <c r="AY379" i="8"/>
  <c r="BB379" i="8"/>
  <c r="BC379" i="8"/>
  <c r="BD379" i="8"/>
  <c r="BE379" i="8"/>
  <c r="BF379" i="8"/>
  <c r="BG379" i="8"/>
  <c r="BI379" i="8"/>
  <c r="BN379" i="8"/>
  <c r="J380" i="8"/>
  <c r="K380" i="8" s="1"/>
  <c r="L380" i="8" s="1"/>
  <c r="AW380" i="8"/>
  <c r="AX380" i="8"/>
  <c r="AY380" i="8"/>
  <c r="BB380" i="8"/>
  <c r="BC380" i="8"/>
  <c r="BD380" i="8"/>
  <c r="BE380" i="8"/>
  <c r="BF380" i="8"/>
  <c r="BG380" i="8"/>
  <c r="BI380" i="8"/>
  <c r="BN380" i="8"/>
  <c r="J381" i="8"/>
  <c r="K381" i="8" s="1"/>
  <c r="L381" i="8" s="1"/>
  <c r="AW381" i="8"/>
  <c r="AX381" i="8"/>
  <c r="BA381" i="8" s="1"/>
  <c r="AY381" i="8"/>
  <c r="BB381" i="8"/>
  <c r="BC381" i="8"/>
  <c r="BD381" i="8"/>
  <c r="BE381" i="8"/>
  <c r="BF381" i="8"/>
  <c r="BG381" i="8"/>
  <c r="BI381" i="8"/>
  <c r="BN381" i="8"/>
  <c r="J382" i="8"/>
  <c r="K382" i="8" s="1"/>
  <c r="L382" i="8" s="1"/>
  <c r="AW382" i="8"/>
  <c r="AX382" i="8"/>
  <c r="BA382" i="8" s="1"/>
  <c r="AY382" i="8"/>
  <c r="BB382" i="8"/>
  <c r="BC382" i="8"/>
  <c r="BD382" i="8"/>
  <c r="BE382" i="8"/>
  <c r="BF382" i="8"/>
  <c r="BG382" i="8"/>
  <c r="BI382" i="8"/>
  <c r="BN382" i="8"/>
  <c r="J383" i="8"/>
  <c r="K383" i="8" s="1"/>
  <c r="L383" i="8" s="1"/>
  <c r="AW383" i="8"/>
  <c r="AX383" i="8"/>
  <c r="BA383" i="8" s="1"/>
  <c r="AY383" i="8"/>
  <c r="BB383" i="8"/>
  <c r="BC383" i="8"/>
  <c r="BD383" i="8"/>
  <c r="BE383" i="8"/>
  <c r="BF383" i="8"/>
  <c r="BG383" i="8"/>
  <c r="BI383" i="8"/>
  <c r="BN383" i="8"/>
  <c r="J384" i="8"/>
  <c r="K384" i="8" s="1"/>
  <c r="L384" i="8" s="1"/>
  <c r="AW384" i="8"/>
  <c r="AX384" i="8"/>
  <c r="BA384" i="8" s="1"/>
  <c r="AY384" i="8"/>
  <c r="BB384" i="8"/>
  <c r="BC384" i="8"/>
  <c r="BD384" i="8"/>
  <c r="BE384" i="8"/>
  <c r="BF384" i="8"/>
  <c r="BG384" i="8"/>
  <c r="BI384" i="8"/>
  <c r="BN384" i="8"/>
  <c r="J385" i="8"/>
  <c r="K385" i="8" s="1"/>
  <c r="L385" i="8" s="1"/>
  <c r="AW385" i="8"/>
  <c r="AX385" i="8"/>
  <c r="AY385" i="8"/>
  <c r="BB385" i="8"/>
  <c r="BC385" i="8"/>
  <c r="BD385" i="8"/>
  <c r="BE385" i="8"/>
  <c r="BF385" i="8"/>
  <c r="BG385" i="8"/>
  <c r="BI385" i="8"/>
  <c r="BN385" i="8"/>
  <c r="J386" i="8"/>
  <c r="M386" i="8" s="1"/>
  <c r="AW386" i="8"/>
  <c r="AX386" i="8"/>
  <c r="AY386" i="8"/>
  <c r="BB386" i="8"/>
  <c r="BC386" i="8"/>
  <c r="BD386" i="8"/>
  <c r="BE386" i="8"/>
  <c r="BF386" i="8"/>
  <c r="BG386" i="8"/>
  <c r="BI386" i="8"/>
  <c r="BN386" i="8"/>
  <c r="J387" i="8"/>
  <c r="M387" i="8" s="1"/>
  <c r="AW387" i="8"/>
  <c r="AX387" i="8"/>
  <c r="AY387" i="8"/>
  <c r="BB387" i="8"/>
  <c r="BC387" i="8"/>
  <c r="BD387" i="8"/>
  <c r="BE387" i="8"/>
  <c r="BF387" i="8"/>
  <c r="BG387" i="8"/>
  <c r="BI387" i="8"/>
  <c r="BN387" i="8"/>
  <c r="J388" i="8"/>
  <c r="K388" i="8" s="1"/>
  <c r="L388" i="8" s="1"/>
  <c r="AW388" i="8"/>
  <c r="AX388" i="8"/>
  <c r="AY388" i="8"/>
  <c r="BB388" i="8"/>
  <c r="BC388" i="8"/>
  <c r="BD388" i="8"/>
  <c r="BE388" i="8"/>
  <c r="BF388" i="8"/>
  <c r="BG388" i="8"/>
  <c r="BI388" i="8"/>
  <c r="BN388" i="8"/>
  <c r="J389" i="8"/>
  <c r="K389" i="8" s="1"/>
  <c r="L389" i="8" s="1"/>
  <c r="AW389" i="8"/>
  <c r="AX389" i="8"/>
  <c r="AY389" i="8"/>
  <c r="BB389" i="8"/>
  <c r="BC389" i="8"/>
  <c r="BD389" i="8"/>
  <c r="BE389" i="8"/>
  <c r="BF389" i="8"/>
  <c r="BG389" i="8"/>
  <c r="BI389" i="8"/>
  <c r="BN389" i="8"/>
  <c r="J390" i="8"/>
  <c r="K390" i="8" s="1"/>
  <c r="L390" i="8" s="1"/>
  <c r="AW390" i="8"/>
  <c r="AX390" i="8"/>
  <c r="AY390" i="8"/>
  <c r="BB390" i="8"/>
  <c r="BC390" i="8"/>
  <c r="BD390" i="8"/>
  <c r="BE390" i="8"/>
  <c r="BF390" i="8"/>
  <c r="BG390" i="8"/>
  <c r="BI390" i="8"/>
  <c r="BN390" i="8"/>
  <c r="J503" i="8"/>
  <c r="J475" i="8"/>
  <c r="J474" i="8"/>
  <c r="J509" i="8"/>
  <c r="J501" i="8"/>
  <c r="J318" i="8"/>
  <c r="J317" i="8"/>
  <c r="J316" i="8"/>
  <c r="J315" i="8"/>
  <c r="J486" i="8"/>
  <c r="J485" i="8"/>
  <c r="J484" i="8"/>
  <c r="J483" i="8"/>
  <c r="J482" i="8"/>
  <c r="J481" i="8"/>
  <c r="J480" i="8"/>
  <c r="J479" i="8"/>
  <c r="J478" i="8"/>
  <c r="J477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476" i="8"/>
  <c r="J320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BA390" i="8" l="1"/>
  <c r="BA386" i="8"/>
  <c r="BA388" i="8"/>
  <c r="BA387" i="8"/>
  <c r="BA385" i="8"/>
  <c r="BA389" i="8"/>
  <c r="AZ386" i="8"/>
  <c r="AZ387" i="8"/>
  <c r="AZ379" i="8"/>
  <c r="BA379" i="8" s="1"/>
  <c r="AZ502" i="8"/>
  <c r="BA502" i="8" s="1"/>
  <c r="AZ385" i="8"/>
  <c r="AZ504" i="8"/>
  <c r="BA504" i="8" s="1"/>
  <c r="AZ383" i="8"/>
  <c r="AZ389" i="8"/>
  <c r="AZ381" i="8"/>
  <c r="AZ384" i="8"/>
  <c r="AZ390" i="8"/>
  <c r="AZ382" i="8"/>
  <c r="AZ388" i="8"/>
  <c r="AZ380" i="8"/>
  <c r="BA380" i="8" s="1"/>
  <c r="M504" i="8"/>
  <c r="BJ504" i="8"/>
  <c r="BJ502" i="8"/>
  <c r="M502" i="8"/>
  <c r="BJ380" i="8"/>
  <c r="BJ388" i="8"/>
  <c r="BJ385" i="8"/>
  <c r="BJ381" i="8"/>
  <c r="BJ379" i="8"/>
  <c r="BJ384" i="8"/>
  <c r="BJ389" i="8"/>
  <c r="BJ387" i="8"/>
  <c r="BJ382" i="8"/>
  <c r="BJ390" i="8"/>
  <c r="BJ383" i="8"/>
  <c r="BJ386" i="8"/>
  <c r="M389" i="8"/>
  <c r="M388" i="8"/>
  <c r="K387" i="8"/>
  <c r="L387" i="8" s="1"/>
  <c r="K386" i="8"/>
  <c r="L386" i="8" s="1"/>
  <c r="M381" i="8"/>
  <c r="M380" i="8"/>
  <c r="M383" i="8"/>
  <c r="M385" i="8"/>
  <c r="M390" i="8"/>
  <c r="M382" i="8"/>
  <c r="M379" i="8"/>
  <c r="M384" i="8"/>
  <c r="M503" i="8"/>
  <c r="M475" i="8"/>
  <c r="M474" i="8"/>
  <c r="M509" i="8"/>
  <c r="M501" i="8"/>
  <c r="M318" i="8"/>
  <c r="M317" i="8"/>
  <c r="M316" i="8"/>
  <c r="M315" i="8"/>
  <c r="M486" i="8"/>
  <c r="M485" i="8"/>
  <c r="M484" i="8"/>
  <c r="M483" i="8"/>
  <c r="M482" i="8"/>
  <c r="M481" i="8"/>
  <c r="M480" i="8"/>
  <c r="M479" i="8"/>
  <c r="M478" i="8"/>
  <c r="M477" i="8"/>
  <c r="M473" i="8"/>
  <c r="M472" i="8"/>
  <c r="M471" i="8"/>
  <c r="M470" i="8"/>
  <c r="M469" i="8"/>
  <c r="M468" i="8"/>
  <c r="M467" i="8"/>
  <c r="M466" i="8"/>
  <c r="M465" i="8"/>
  <c r="M464" i="8"/>
  <c r="M463" i="8"/>
  <c r="M462" i="8"/>
  <c r="M461" i="8"/>
  <c r="M460" i="8"/>
  <c r="M459" i="8"/>
  <c r="M458" i="8"/>
  <c r="M457" i="8"/>
  <c r="M456" i="8"/>
  <c r="M455" i="8"/>
  <c r="M454" i="8"/>
  <c r="M453" i="8"/>
  <c r="M452" i="8"/>
  <c r="M451" i="8"/>
  <c r="M450" i="8"/>
  <c r="M449" i="8"/>
  <c r="M448" i="8"/>
  <c r="M447" i="8"/>
  <c r="M446" i="8"/>
  <c r="M445" i="8"/>
  <c r="M444" i="8"/>
  <c r="M443" i="8"/>
  <c r="M442" i="8"/>
  <c r="M441" i="8"/>
  <c r="M440" i="8"/>
  <c r="M439" i="8"/>
  <c r="M438" i="8"/>
  <c r="M437" i="8"/>
  <c r="M436" i="8"/>
  <c r="M435" i="8"/>
  <c r="M434" i="8"/>
  <c r="M433" i="8"/>
  <c r="M432" i="8"/>
  <c r="M431" i="8"/>
  <c r="M430" i="8"/>
  <c r="M429" i="8"/>
  <c r="M428" i="8"/>
  <c r="M427" i="8"/>
  <c r="M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  <c r="M397" i="8"/>
  <c r="M396" i="8"/>
  <c r="M395" i="8"/>
  <c r="M394" i="8"/>
  <c r="M393" i="8"/>
  <c r="M392" i="8"/>
  <c r="M391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476" i="8"/>
  <c r="M320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K503" i="8"/>
  <c r="L503" i="8" s="1"/>
  <c r="K475" i="8"/>
  <c r="L475" i="8" s="1"/>
  <c r="K474" i="8"/>
  <c r="L474" i="8" s="1"/>
  <c r="K509" i="8"/>
  <c r="L509" i="8" s="1"/>
  <c r="K501" i="8"/>
  <c r="L501" i="8" s="1"/>
  <c r="K318" i="8"/>
  <c r="L318" i="8" s="1"/>
  <c r="K317" i="8"/>
  <c r="L317" i="8" s="1"/>
  <c r="K316" i="8"/>
  <c r="L316" i="8" s="1"/>
  <c r="K315" i="8"/>
  <c r="L315" i="8" s="1"/>
  <c r="K486" i="8"/>
  <c r="L486" i="8" s="1"/>
  <c r="K485" i="8"/>
  <c r="L485" i="8" s="1"/>
  <c r="K484" i="8"/>
  <c r="L484" i="8" s="1"/>
  <c r="K483" i="8"/>
  <c r="L483" i="8" s="1"/>
  <c r="K482" i="8"/>
  <c r="L482" i="8" s="1"/>
  <c r="K481" i="8"/>
  <c r="L481" i="8" s="1"/>
  <c r="K480" i="8"/>
  <c r="L480" i="8" s="1"/>
  <c r="K479" i="8"/>
  <c r="L479" i="8" s="1"/>
  <c r="K478" i="8"/>
  <c r="L478" i="8" s="1"/>
  <c r="K477" i="8"/>
  <c r="L477" i="8" s="1"/>
  <c r="K473" i="8"/>
  <c r="L473" i="8" s="1"/>
  <c r="K472" i="8"/>
  <c r="L472" i="8" s="1"/>
  <c r="K471" i="8"/>
  <c r="L471" i="8" s="1"/>
  <c r="K470" i="8"/>
  <c r="L470" i="8" s="1"/>
  <c r="K469" i="8"/>
  <c r="L469" i="8" s="1"/>
  <c r="K468" i="8"/>
  <c r="L468" i="8" s="1"/>
  <c r="K467" i="8"/>
  <c r="L467" i="8" s="1"/>
  <c r="K466" i="8"/>
  <c r="L466" i="8" s="1"/>
  <c r="K465" i="8"/>
  <c r="L465" i="8" s="1"/>
  <c r="K464" i="8"/>
  <c r="L464" i="8" s="1"/>
  <c r="K463" i="8"/>
  <c r="L463" i="8" s="1"/>
  <c r="K462" i="8"/>
  <c r="L462" i="8" s="1"/>
  <c r="K461" i="8"/>
  <c r="L461" i="8" s="1"/>
  <c r="K460" i="8"/>
  <c r="L460" i="8" s="1"/>
  <c r="K459" i="8"/>
  <c r="L459" i="8" s="1"/>
  <c r="K458" i="8"/>
  <c r="L458" i="8" s="1"/>
  <c r="K457" i="8"/>
  <c r="L457" i="8" s="1"/>
  <c r="K456" i="8"/>
  <c r="L456" i="8" s="1"/>
  <c r="K455" i="8"/>
  <c r="L455" i="8" s="1"/>
  <c r="K454" i="8"/>
  <c r="L454" i="8" s="1"/>
  <c r="K453" i="8"/>
  <c r="L453" i="8" s="1"/>
  <c r="K452" i="8"/>
  <c r="L452" i="8" s="1"/>
  <c r="K451" i="8"/>
  <c r="L451" i="8" s="1"/>
  <c r="K450" i="8"/>
  <c r="L450" i="8" s="1"/>
  <c r="K449" i="8"/>
  <c r="L449" i="8" s="1"/>
  <c r="K448" i="8"/>
  <c r="L448" i="8" s="1"/>
  <c r="K447" i="8"/>
  <c r="L447" i="8" s="1"/>
  <c r="K446" i="8"/>
  <c r="L446" i="8" s="1"/>
  <c r="K445" i="8"/>
  <c r="L445" i="8" s="1"/>
  <c r="K444" i="8"/>
  <c r="L444" i="8" s="1"/>
  <c r="K443" i="8"/>
  <c r="L443" i="8" s="1"/>
  <c r="K442" i="8"/>
  <c r="L442" i="8" s="1"/>
  <c r="K441" i="8"/>
  <c r="L441" i="8" s="1"/>
  <c r="K440" i="8"/>
  <c r="L440" i="8" s="1"/>
  <c r="K439" i="8"/>
  <c r="L439" i="8" s="1"/>
  <c r="K438" i="8"/>
  <c r="L438" i="8" s="1"/>
  <c r="K437" i="8"/>
  <c r="L437" i="8" s="1"/>
  <c r="K436" i="8"/>
  <c r="L436" i="8" s="1"/>
  <c r="K435" i="8"/>
  <c r="L435" i="8" s="1"/>
  <c r="K434" i="8"/>
  <c r="L434" i="8" s="1"/>
  <c r="K433" i="8"/>
  <c r="L433" i="8" s="1"/>
  <c r="K432" i="8"/>
  <c r="L432" i="8" s="1"/>
  <c r="K431" i="8"/>
  <c r="L431" i="8" s="1"/>
  <c r="K430" i="8"/>
  <c r="L430" i="8" s="1"/>
  <c r="K429" i="8"/>
  <c r="L429" i="8" s="1"/>
  <c r="K428" i="8"/>
  <c r="L428" i="8" s="1"/>
  <c r="K427" i="8"/>
  <c r="L427" i="8" s="1"/>
  <c r="K426" i="8"/>
  <c r="L426" i="8" s="1"/>
  <c r="K425" i="8"/>
  <c r="L425" i="8" s="1"/>
  <c r="K424" i="8"/>
  <c r="L424" i="8" s="1"/>
  <c r="K423" i="8"/>
  <c r="L423" i="8" s="1"/>
  <c r="K422" i="8"/>
  <c r="L422" i="8" s="1"/>
  <c r="K421" i="8"/>
  <c r="L421" i="8" s="1"/>
  <c r="K420" i="8"/>
  <c r="L420" i="8" s="1"/>
  <c r="K419" i="8"/>
  <c r="L419" i="8" s="1"/>
  <c r="K418" i="8"/>
  <c r="L418" i="8" s="1"/>
  <c r="K417" i="8"/>
  <c r="L417" i="8" s="1"/>
  <c r="K416" i="8"/>
  <c r="L416" i="8" s="1"/>
  <c r="K415" i="8"/>
  <c r="L415" i="8" s="1"/>
  <c r="K414" i="8"/>
  <c r="L414" i="8" s="1"/>
  <c r="K413" i="8"/>
  <c r="L413" i="8" s="1"/>
  <c r="K412" i="8"/>
  <c r="L412" i="8" s="1"/>
  <c r="K411" i="8"/>
  <c r="L411" i="8" s="1"/>
  <c r="K410" i="8"/>
  <c r="L410" i="8" s="1"/>
  <c r="K409" i="8"/>
  <c r="L409" i="8" s="1"/>
  <c r="K408" i="8"/>
  <c r="L408" i="8" s="1"/>
  <c r="K407" i="8"/>
  <c r="L407" i="8" s="1"/>
  <c r="K406" i="8"/>
  <c r="L406" i="8" s="1"/>
  <c r="K405" i="8"/>
  <c r="L405" i="8" s="1"/>
  <c r="K404" i="8"/>
  <c r="L404" i="8" s="1"/>
  <c r="K403" i="8"/>
  <c r="L403" i="8" s="1"/>
  <c r="K402" i="8"/>
  <c r="L402" i="8" s="1"/>
  <c r="K401" i="8"/>
  <c r="L401" i="8" s="1"/>
  <c r="K400" i="8"/>
  <c r="L400" i="8" s="1"/>
  <c r="K399" i="8"/>
  <c r="L399" i="8" s="1"/>
  <c r="K398" i="8"/>
  <c r="L398" i="8" s="1"/>
  <c r="K397" i="8"/>
  <c r="L397" i="8" s="1"/>
  <c r="K396" i="8"/>
  <c r="L396" i="8" s="1"/>
  <c r="K395" i="8"/>
  <c r="L395" i="8" s="1"/>
  <c r="K394" i="8"/>
  <c r="L394" i="8" s="1"/>
  <c r="K393" i="8"/>
  <c r="L393" i="8" s="1"/>
  <c r="K392" i="8"/>
  <c r="L392" i="8" s="1"/>
  <c r="K391" i="8"/>
  <c r="L391" i="8" s="1"/>
  <c r="K378" i="8"/>
  <c r="L378" i="8" s="1"/>
  <c r="K377" i="8"/>
  <c r="L377" i="8" s="1"/>
  <c r="K376" i="8"/>
  <c r="L376" i="8" s="1"/>
  <c r="K375" i="8"/>
  <c r="L375" i="8" s="1"/>
  <c r="K374" i="8"/>
  <c r="L374" i="8" s="1"/>
  <c r="K373" i="8"/>
  <c r="L373" i="8" s="1"/>
  <c r="K372" i="8"/>
  <c r="L372" i="8" s="1"/>
  <c r="K371" i="8"/>
  <c r="L371" i="8" s="1"/>
  <c r="K370" i="8"/>
  <c r="L370" i="8" s="1"/>
  <c r="K369" i="8"/>
  <c r="L369" i="8" s="1"/>
  <c r="K368" i="8"/>
  <c r="L368" i="8" s="1"/>
  <c r="K367" i="8"/>
  <c r="L367" i="8" s="1"/>
  <c r="K366" i="8"/>
  <c r="L366" i="8" s="1"/>
  <c r="K365" i="8"/>
  <c r="L365" i="8" s="1"/>
  <c r="K364" i="8"/>
  <c r="L364" i="8" s="1"/>
  <c r="K363" i="8"/>
  <c r="L363" i="8" s="1"/>
  <c r="K362" i="8"/>
  <c r="L362" i="8" s="1"/>
  <c r="K361" i="8"/>
  <c r="L361" i="8" s="1"/>
  <c r="K360" i="8"/>
  <c r="L360" i="8" s="1"/>
  <c r="K359" i="8"/>
  <c r="L359" i="8" s="1"/>
  <c r="K358" i="8"/>
  <c r="L358" i="8" s="1"/>
  <c r="K357" i="8"/>
  <c r="L357" i="8" s="1"/>
  <c r="K356" i="8"/>
  <c r="L356" i="8" s="1"/>
  <c r="K355" i="8"/>
  <c r="L355" i="8" s="1"/>
  <c r="K354" i="8"/>
  <c r="L354" i="8" s="1"/>
  <c r="K353" i="8"/>
  <c r="L353" i="8" s="1"/>
  <c r="K352" i="8"/>
  <c r="L352" i="8" s="1"/>
  <c r="K351" i="8"/>
  <c r="L351" i="8" s="1"/>
  <c r="K350" i="8"/>
  <c r="L350" i="8" s="1"/>
  <c r="K349" i="8"/>
  <c r="L349" i="8" s="1"/>
  <c r="K348" i="8"/>
  <c r="L348" i="8" s="1"/>
  <c r="K347" i="8"/>
  <c r="L347" i="8" s="1"/>
  <c r="K346" i="8"/>
  <c r="L346" i="8" s="1"/>
  <c r="K345" i="8"/>
  <c r="L345" i="8" s="1"/>
  <c r="K344" i="8"/>
  <c r="L344" i="8" s="1"/>
  <c r="K343" i="8"/>
  <c r="L343" i="8" s="1"/>
  <c r="K342" i="8"/>
  <c r="L342" i="8" s="1"/>
  <c r="K341" i="8"/>
  <c r="L341" i="8" s="1"/>
  <c r="K340" i="8"/>
  <c r="L340" i="8" s="1"/>
  <c r="K339" i="8"/>
  <c r="L339" i="8" s="1"/>
  <c r="K338" i="8"/>
  <c r="L338" i="8" s="1"/>
  <c r="K337" i="8"/>
  <c r="L337" i="8" s="1"/>
  <c r="K336" i="8"/>
  <c r="L336" i="8" s="1"/>
  <c r="K335" i="8"/>
  <c r="L335" i="8" s="1"/>
  <c r="K334" i="8"/>
  <c r="L334" i="8" s="1"/>
  <c r="K333" i="8"/>
  <c r="L333" i="8" s="1"/>
  <c r="K332" i="8"/>
  <c r="L332" i="8" s="1"/>
  <c r="K331" i="8"/>
  <c r="L331" i="8" s="1"/>
  <c r="K330" i="8"/>
  <c r="L330" i="8" s="1"/>
  <c r="K329" i="8"/>
  <c r="L329" i="8" s="1"/>
  <c r="K328" i="8"/>
  <c r="L328" i="8" s="1"/>
  <c r="K327" i="8"/>
  <c r="L327" i="8" s="1"/>
  <c r="K326" i="8"/>
  <c r="L326" i="8" s="1"/>
  <c r="K325" i="8"/>
  <c r="L325" i="8" s="1"/>
  <c r="K324" i="8"/>
  <c r="L324" i="8" s="1"/>
  <c r="K323" i="8"/>
  <c r="L323" i="8" s="1"/>
  <c r="K322" i="8"/>
  <c r="L322" i="8" s="1"/>
  <c r="K476" i="8"/>
  <c r="L476" i="8" s="1"/>
  <c r="K320" i="8"/>
  <c r="L320" i="8" s="1"/>
  <c r="K314" i="8"/>
  <c r="L314" i="8" s="1"/>
  <c r="K313" i="8"/>
  <c r="L313" i="8" s="1"/>
  <c r="K312" i="8"/>
  <c r="L312" i="8" s="1"/>
  <c r="K311" i="8"/>
  <c r="L311" i="8" s="1"/>
  <c r="K310" i="8"/>
  <c r="L310" i="8" s="1"/>
  <c r="K309" i="8"/>
  <c r="L309" i="8" s="1"/>
  <c r="K308" i="8"/>
  <c r="L308" i="8" s="1"/>
  <c r="K307" i="8"/>
  <c r="L307" i="8" s="1"/>
  <c r="K306" i="8"/>
  <c r="L306" i="8" s="1"/>
  <c r="K305" i="8"/>
  <c r="L305" i="8" s="1"/>
  <c r="K304" i="8"/>
  <c r="L304" i="8" s="1"/>
  <c r="K303" i="8"/>
  <c r="L303" i="8" s="1"/>
  <c r="K302" i="8"/>
  <c r="L302" i="8" s="1"/>
  <c r="K301" i="8"/>
  <c r="L301" i="8" s="1"/>
  <c r="K300" i="8"/>
  <c r="L300" i="8" s="1"/>
  <c r="K299" i="8"/>
  <c r="L299" i="8" s="1"/>
  <c r="K298" i="8"/>
  <c r="L298" i="8" s="1"/>
  <c r="K297" i="8"/>
  <c r="L297" i="8" s="1"/>
  <c r="K296" i="8"/>
  <c r="L296" i="8" s="1"/>
  <c r="K295" i="8"/>
  <c r="L295" i="8" s="1"/>
  <c r="K294" i="8"/>
  <c r="L294" i="8" s="1"/>
  <c r="K293" i="8"/>
  <c r="L293" i="8" s="1"/>
  <c r="K292" i="8"/>
  <c r="L292" i="8" s="1"/>
  <c r="K291" i="8"/>
  <c r="L291" i="8" s="1"/>
  <c r="K290" i="8"/>
  <c r="L290" i="8" s="1"/>
  <c r="K289" i="8"/>
  <c r="L289" i="8" s="1"/>
  <c r="K288" i="8"/>
  <c r="L288" i="8" s="1"/>
  <c r="K287" i="8"/>
  <c r="L287" i="8" s="1"/>
  <c r="K286" i="8"/>
  <c r="L286" i="8" s="1"/>
  <c r="K285" i="8"/>
  <c r="L285" i="8" s="1"/>
  <c r="K284" i="8"/>
  <c r="L284" i="8" s="1"/>
  <c r="K283" i="8"/>
  <c r="L283" i="8" s="1"/>
  <c r="K282" i="8"/>
  <c r="L282" i="8" s="1"/>
  <c r="K281" i="8"/>
  <c r="L281" i="8" s="1"/>
  <c r="K280" i="8"/>
  <c r="L280" i="8" s="1"/>
  <c r="K279" i="8"/>
  <c r="L279" i="8" s="1"/>
  <c r="K278" i="8"/>
  <c r="L278" i="8" s="1"/>
  <c r="K277" i="8"/>
  <c r="L277" i="8" s="1"/>
  <c r="K276" i="8"/>
  <c r="L276" i="8" s="1"/>
  <c r="K275" i="8"/>
  <c r="L275" i="8" s="1"/>
  <c r="K274" i="8"/>
  <c r="L274" i="8" s="1"/>
  <c r="K273" i="8"/>
  <c r="L273" i="8" s="1"/>
  <c r="K272" i="8"/>
  <c r="L272" i="8" s="1"/>
  <c r="K271" i="8"/>
  <c r="L271" i="8" s="1"/>
  <c r="K270" i="8"/>
  <c r="L270" i="8" s="1"/>
  <c r="K269" i="8"/>
  <c r="L269" i="8" s="1"/>
  <c r="K268" i="8"/>
  <c r="L268" i="8" s="1"/>
  <c r="K267" i="8"/>
  <c r="L267" i="8" s="1"/>
  <c r="K266" i="8"/>
  <c r="L266" i="8" s="1"/>
  <c r="K265" i="8"/>
  <c r="L265" i="8" s="1"/>
  <c r="K264" i="8"/>
  <c r="L264" i="8" s="1"/>
  <c r="K263" i="8"/>
  <c r="L263" i="8" s="1"/>
  <c r="K262" i="8"/>
  <c r="L262" i="8" s="1"/>
  <c r="K261" i="8"/>
  <c r="L261" i="8" s="1"/>
  <c r="K260" i="8"/>
  <c r="L260" i="8" s="1"/>
  <c r="K259" i="8"/>
  <c r="L259" i="8" s="1"/>
  <c r="K258" i="8"/>
  <c r="L258" i="8" s="1"/>
  <c r="K257" i="8"/>
  <c r="L257" i="8" s="1"/>
  <c r="K256" i="8"/>
  <c r="L256" i="8" s="1"/>
  <c r="K255" i="8"/>
  <c r="L255" i="8" s="1"/>
  <c r="K254" i="8"/>
  <c r="L254" i="8" s="1"/>
  <c r="K253" i="8"/>
  <c r="L253" i="8" s="1"/>
  <c r="K252" i="8"/>
  <c r="L252" i="8" s="1"/>
  <c r="K251" i="8"/>
  <c r="L251" i="8" s="1"/>
  <c r="K250" i="8"/>
  <c r="L250" i="8" s="1"/>
  <c r="K249" i="8"/>
  <c r="L249" i="8" s="1"/>
  <c r="K248" i="8"/>
  <c r="L248" i="8" s="1"/>
  <c r="K247" i="8"/>
  <c r="L247" i="8" s="1"/>
  <c r="K246" i="8"/>
  <c r="L246" i="8" s="1"/>
  <c r="K245" i="8"/>
  <c r="L245" i="8" s="1"/>
  <c r="K244" i="8"/>
  <c r="L244" i="8" s="1"/>
  <c r="K243" i="8"/>
  <c r="L243" i="8" s="1"/>
  <c r="K242" i="8"/>
  <c r="L242" i="8" s="1"/>
  <c r="K241" i="8"/>
  <c r="L241" i="8" s="1"/>
  <c r="K240" i="8"/>
  <c r="L240" i="8" s="1"/>
  <c r="K239" i="8"/>
  <c r="L239" i="8" s="1"/>
  <c r="K238" i="8"/>
  <c r="L238" i="8" s="1"/>
  <c r="K237" i="8"/>
  <c r="L237" i="8" s="1"/>
  <c r="K236" i="8"/>
  <c r="L236" i="8" s="1"/>
  <c r="K235" i="8"/>
  <c r="L235" i="8" s="1"/>
  <c r="K234" i="8"/>
  <c r="L234" i="8" s="1"/>
  <c r="K233" i="8"/>
  <c r="L233" i="8" s="1"/>
  <c r="K232" i="8"/>
  <c r="L232" i="8" s="1"/>
  <c r="K231" i="8"/>
  <c r="L231" i="8" s="1"/>
  <c r="K230" i="8"/>
  <c r="L230" i="8" s="1"/>
  <c r="K229" i="8"/>
  <c r="L229" i="8" s="1"/>
  <c r="K228" i="8"/>
  <c r="L228" i="8" s="1"/>
  <c r="K227" i="8"/>
  <c r="L227" i="8" s="1"/>
  <c r="K226" i="8"/>
  <c r="L226" i="8" s="1"/>
  <c r="K225" i="8"/>
  <c r="L225" i="8" s="1"/>
  <c r="K224" i="8"/>
  <c r="L224" i="8" s="1"/>
  <c r="K223" i="8"/>
  <c r="L223" i="8" s="1"/>
  <c r="K222" i="8"/>
  <c r="L222" i="8" s="1"/>
  <c r="K221" i="8"/>
  <c r="L221" i="8" s="1"/>
  <c r="K220" i="8"/>
  <c r="L220" i="8" s="1"/>
  <c r="K219" i="8"/>
  <c r="L219" i="8" s="1"/>
  <c r="K218" i="8"/>
  <c r="L218" i="8" s="1"/>
  <c r="K217" i="8"/>
  <c r="L217" i="8" s="1"/>
  <c r="K216" i="8"/>
  <c r="L216" i="8" s="1"/>
  <c r="K215" i="8"/>
  <c r="L215" i="8" s="1"/>
  <c r="K214" i="8"/>
  <c r="L214" i="8" s="1"/>
  <c r="K213" i="8"/>
  <c r="L213" i="8" s="1"/>
  <c r="K212" i="8"/>
  <c r="L212" i="8" s="1"/>
  <c r="K211" i="8"/>
  <c r="L211" i="8" s="1"/>
  <c r="K210" i="8"/>
  <c r="L210" i="8" s="1"/>
  <c r="K209" i="8"/>
  <c r="L209" i="8" s="1"/>
  <c r="K208" i="8"/>
  <c r="L208" i="8" s="1"/>
  <c r="K207" i="8"/>
  <c r="L207" i="8" s="1"/>
  <c r="K206" i="8"/>
  <c r="L206" i="8" s="1"/>
  <c r="K205" i="8"/>
  <c r="L205" i="8" s="1"/>
  <c r="K204" i="8"/>
  <c r="L204" i="8" s="1"/>
  <c r="K203" i="8"/>
  <c r="L203" i="8" s="1"/>
  <c r="K202" i="8"/>
  <c r="L202" i="8" s="1"/>
  <c r="K201" i="8"/>
  <c r="L201" i="8" s="1"/>
  <c r="K200" i="8"/>
  <c r="L200" i="8" s="1"/>
  <c r="K199" i="8"/>
  <c r="L199" i="8" s="1"/>
  <c r="K198" i="8"/>
  <c r="L198" i="8" s="1"/>
  <c r="K197" i="8"/>
  <c r="L197" i="8" s="1"/>
  <c r="K196" i="8"/>
  <c r="L196" i="8" s="1"/>
  <c r="K195" i="8"/>
  <c r="L195" i="8" s="1"/>
  <c r="K194" i="8"/>
  <c r="L194" i="8" s="1"/>
  <c r="K193" i="8"/>
  <c r="L193" i="8" s="1"/>
  <c r="K192" i="8"/>
  <c r="L192" i="8" s="1"/>
  <c r="K191" i="8"/>
  <c r="L191" i="8" s="1"/>
  <c r="K190" i="8"/>
  <c r="L190" i="8" s="1"/>
  <c r="K189" i="8"/>
  <c r="L189" i="8" s="1"/>
  <c r="K188" i="8"/>
  <c r="L188" i="8" s="1"/>
  <c r="K187" i="8"/>
  <c r="L187" i="8" s="1"/>
  <c r="K186" i="8"/>
  <c r="L186" i="8" s="1"/>
  <c r="K185" i="8"/>
  <c r="L185" i="8" s="1"/>
  <c r="K184" i="8"/>
  <c r="L184" i="8" s="1"/>
  <c r="K183" i="8"/>
  <c r="L183" i="8" s="1"/>
  <c r="K182" i="8"/>
  <c r="L182" i="8" s="1"/>
  <c r="K181" i="8"/>
  <c r="L181" i="8" s="1"/>
  <c r="K180" i="8"/>
  <c r="L180" i="8" s="1"/>
  <c r="K179" i="8"/>
  <c r="L179" i="8" s="1"/>
  <c r="K178" i="8"/>
  <c r="L178" i="8" s="1"/>
  <c r="K177" i="8"/>
  <c r="L177" i="8" s="1"/>
  <c r="K176" i="8"/>
  <c r="L176" i="8" s="1"/>
  <c r="K175" i="8"/>
  <c r="L175" i="8" s="1"/>
  <c r="K174" i="8"/>
  <c r="L174" i="8" s="1"/>
  <c r="K173" i="8"/>
  <c r="L173" i="8" s="1"/>
  <c r="K172" i="8"/>
  <c r="L172" i="8" s="1"/>
  <c r="K171" i="8"/>
  <c r="L171" i="8" s="1"/>
  <c r="K170" i="8"/>
  <c r="L170" i="8" s="1"/>
  <c r="K169" i="8"/>
  <c r="L169" i="8" s="1"/>
  <c r="K168" i="8"/>
  <c r="L168" i="8" s="1"/>
  <c r="K167" i="8"/>
  <c r="L167" i="8" s="1"/>
  <c r="K166" i="8"/>
  <c r="L166" i="8" s="1"/>
  <c r="K165" i="8"/>
  <c r="L165" i="8" s="1"/>
  <c r="K164" i="8"/>
  <c r="L164" i="8" s="1"/>
  <c r="K163" i="8"/>
  <c r="L163" i="8" s="1"/>
  <c r="K162" i="8"/>
  <c r="L162" i="8" s="1"/>
  <c r="K161" i="8"/>
  <c r="L161" i="8" s="1"/>
  <c r="K160" i="8"/>
  <c r="L160" i="8" s="1"/>
  <c r="K159" i="8"/>
  <c r="L159" i="8" s="1"/>
  <c r="K158" i="8"/>
  <c r="L158" i="8" s="1"/>
  <c r="K157" i="8"/>
  <c r="L157" i="8" s="1"/>
  <c r="K156" i="8"/>
  <c r="L156" i="8" s="1"/>
  <c r="K155" i="8"/>
  <c r="L155" i="8" s="1"/>
  <c r="K154" i="8"/>
  <c r="L154" i="8" s="1"/>
  <c r="K153" i="8"/>
  <c r="L153" i="8" s="1"/>
  <c r="K152" i="8"/>
  <c r="L152" i="8" s="1"/>
  <c r="K151" i="8"/>
  <c r="L151" i="8" s="1"/>
  <c r="K150" i="8"/>
  <c r="L150" i="8" s="1"/>
  <c r="K149" i="8"/>
  <c r="L149" i="8" s="1"/>
  <c r="K148" i="8"/>
  <c r="L148" i="8" s="1"/>
  <c r="K147" i="8"/>
  <c r="L147" i="8" s="1"/>
  <c r="K146" i="8"/>
  <c r="L146" i="8" s="1"/>
  <c r="K145" i="8"/>
  <c r="L145" i="8" s="1"/>
  <c r="K144" i="8"/>
  <c r="L144" i="8" s="1"/>
  <c r="K143" i="8"/>
  <c r="L143" i="8" s="1"/>
  <c r="K142" i="8"/>
  <c r="L142" i="8" s="1"/>
  <c r="K141" i="8"/>
  <c r="L141" i="8" s="1"/>
  <c r="K140" i="8"/>
  <c r="L140" i="8" s="1"/>
  <c r="K139" i="8"/>
  <c r="L139" i="8" s="1"/>
  <c r="K138" i="8"/>
  <c r="L138" i="8" s="1"/>
  <c r="K137" i="8"/>
  <c r="L137" i="8" s="1"/>
  <c r="K136" i="8"/>
  <c r="L136" i="8" s="1"/>
  <c r="K135" i="8"/>
  <c r="L135" i="8" s="1"/>
  <c r="K134" i="8"/>
  <c r="L134" i="8" s="1"/>
  <c r="K133" i="8"/>
  <c r="L133" i="8" s="1"/>
  <c r="K132" i="8"/>
  <c r="L132" i="8" s="1"/>
  <c r="K131" i="8"/>
  <c r="L131" i="8" s="1"/>
  <c r="K130" i="8"/>
  <c r="L130" i="8" s="1"/>
  <c r="K129" i="8"/>
  <c r="L129" i="8" s="1"/>
  <c r="K128" i="8"/>
  <c r="L128" i="8" s="1"/>
  <c r="K127" i="8"/>
  <c r="L127" i="8" s="1"/>
  <c r="K126" i="8"/>
  <c r="L126" i="8" s="1"/>
  <c r="K125" i="8"/>
  <c r="L125" i="8" s="1"/>
  <c r="K124" i="8"/>
  <c r="L124" i="8" s="1"/>
  <c r="K123" i="8"/>
  <c r="L123" i="8" s="1"/>
  <c r="K122" i="8"/>
  <c r="L122" i="8" s="1"/>
  <c r="K121" i="8"/>
  <c r="L121" i="8" s="1"/>
  <c r="K120" i="8"/>
  <c r="L120" i="8" s="1"/>
  <c r="K119" i="8"/>
  <c r="L119" i="8" s="1"/>
  <c r="K118" i="8"/>
  <c r="L118" i="8" s="1"/>
  <c r="K117" i="8"/>
  <c r="L117" i="8" s="1"/>
  <c r="K116" i="8"/>
  <c r="L116" i="8" s="1"/>
  <c r="K115" i="8"/>
  <c r="L115" i="8" s="1"/>
  <c r="K114" i="8"/>
  <c r="L114" i="8" s="1"/>
  <c r="K113" i="8"/>
  <c r="L113" i="8" s="1"/>
  <c r="K112" i="8"/>
  <c r="L112" i="8" s="1"/>
  <c r="K111" i="8"/>
  <c r="L111" i="8" s="1"/>
  <c r="K110" i="8"/>
  <c r="L110" i="8" s="1"/>
  <c r="K109" i="8"/>
  <c r="L109" i="8" s="1"/>
  <c r="K108" i="8"/>
  <c r="L108" i="8" s="1"/>
  <c r="K107" i="8"/>
  <c r="L107" i="8" s="1"/>
  <c r="K106" i="8"/>
  <c r="L106" i="8" s="1"/>
  <c r="K105" i="8"/>
  <c r="L105" i="8" s="1"/>
  <c r="K104" i="8"/>
  <c r="L104" i="8" s="1"/>
  <c r="K103" i="8"/>
  <c r="L103" i="8" s="1"/>
  <c r="K102" i="8"/>
  <c r="L102" i="8" s="1"/>
  <c r="K101" i="8"/>
  <c r="L101" i="8" s="1"/>
  <c r="K100" i="8"/>
  <c r="L100" i="8" s="1"/>
  <c r="K99" i="8"/>
  <c r="L99" i="8" s="1"/>
  <c r="K98" i="8"/>
  <c r="L98" i="8" s="1"/>
  <c r="K97" i="8"/>
  <c r="L97" i="8" s="1"/>
  <c r="K96" i="8"/>
  <c r="L96" i="8" s="1"/>
  <c r="K95" i="8"/>
  <c r="L95" i="8" s="1"/>
  <c r="K94" i="8"/>
  <c r="L94" i="8" s="1"/>
  <c r="K93" i="8"/>
  <c r="L93" i="8" s="1"/>
  <c r="K92" i="8"/>
  <c r="L92" i="8" s="1"/>
  <c r="K91" i="8"/>
  <c r="L91" i="8" s="1"/>
  <c r="K90" i="8"/>
  <c r="L90" i="8" s="1"/>
  <c r="K89" i="8"/>
  <c r="L89" i="8" s="1"/>
  <c r="K88" i="8"/>
  <c r="L88" i="8" s="1"/>
  <c r="K87" i="8"/>
  <c r="L87" i="8" s="1"/>
  <c r="K86" i="8"/>
  <c r="L86" i="8" s="1"/>
  <c r="K85" i="8"/>
  <c r="L85" i="8" s="1"/>
  <c r="K84" i="8"/>
  <c r="L84" i="8" s="1"/>
  <c r="K83" i="8"/>
  <c r="L83" i="8" s="1"/>
  <c r="K82" i="8"/>
  <c r="L82" i="8" s="1"/>
  <c r="K81" i="8"/>
  <c r="L81" i="8" s="1"/>
  <c r="K80" i="8"/>
  <c r="L80" i="8" s="1"/>
  <c r="K79" i="8"/>
  <c r="L79" i="8" s="1"/>
  <c r="K78" i="8"/>
  <c r="L78" i="8" s="1"/>
  <c r="K77" i="8"/>
  <c r="L77" i="8" s="1"/>
  <c r="K76" i="8"/>
  <c r="L76" i="8" s="1"/>
  <c r="K75" i="8"/>
  <c r="L75" i="8" s="1"/>
  <c r="K74" i="8"/>
  <c r="L74" i="8" s="1"/>
  <c r="K73" i="8"/>
  <c r="L73" i="8" s="1"/>
  <c r="K72" i="8"/>
  <c r="L72" i="8" s="1"/>
  <c r="K71" i="8"/>
  <c r="L71" i="8" s="1"/>
  <c r="K70" i="8"/>
  <c r="L70" i="8" s="1"/>
  <c r="K69" i="8"/>
  <c r="L69" i="8" s="1"/>
  <c r="K68" i="8"/>
  <c r="L68" i="8" s="1"/>
  <c r="K67" i="8"/>
  <c r="L67" i="8" s="1"/>
  <c r="K66" i="8"/>
  <c r="L66" i="8" s="1"/>
  <c r="K65" i="8"/>
  <c r="L65" i="8" s="1"/>
  <c r="K64" i="8"/>
  <c r="L64" i="8" s="1"/>
  <c r="K63" i="8"/>
  <c r="L63" i="8" s="1"/>
  <c r="K62" i="8"/>
  <c r="L62" i="8" s="1"/>
  <c r="K61" i="8"/>
  <c r="L61" i="8" s="1"/>
  <c r="K60" i="8"/>
  <c r="L60" i="8" s="1"/>
  <c r="K59" i="8"/>
  <c r="L59" i="8" s="1"/>
  <c r="K58" i="8"/>
  <c r="L58" i="8" s="1"/>
  <c r="K57" i="8"/>
  <c r="L57" i="8" s="1"/>
  <c r="K56" i="8"/>
  <c r="L56" i="8" s="1"/>
  <c r="K55" i="8"/>
  <c r="L55" i="8" s="1"/>
  <c r="K54" i="8"/>
  <c r="L54" i="8" s="1"/>
  <c r="K53" i="8"/>
  <c r="L53" i="8" s="1"/>
  <c r="K52" i="8"/>
  <c r="L52" i="8" s="1"/>
  <c r="K51" i="8"/>
  <c r="L51" i="8" s="1"/>
  <c r="K50" i="8"/>
  <c r="L50" i="8" s="1"/>
  <c r="K49" i="8"/>
  <c r="L49" i="8" s="1"/>
  <c r="K48" i="8"/>
  <c r="L48" i="8" s="1"/>
  <c r="K47" i="8"/>
  <c r="L47" i="8" s="1"/>
  <c r="K46" i="8"/>
  <c r="L46" i="8" s="1"/>
  <c r="K45" i="8"/>
  <c r="L45" i="8" s="1"/>
  <c r="K44" i="8"/>
  <c r="L44" i="8" s="1"/>
  <c r="K43" i="8"/>
  <c r="L43" i="8" s="1"/>
  <c r="K42" i="8"/>
  <c r="L42" i="8" s="1"/>
  <c r="K41" i="8"/>
  <c r="L41" i="8" s="1"/>
  <c r="K40" i="8"/>
  <c r="L40" i="8" s="1"/>
  <c r="K39" i="8"/>
  <c r="L39" i="8" s="1"/>
  <c r="K38" i="8"/>
  <c r="L38" i="8" s="1"/>
  <c r="K37" i="8"/>
  <c r="L37" i="8" s="1"/>
  <c r="K36" i="8"/>
  <c r="L36" i="8" s="1"/>
  <c r="K35" i="8"/>
  <c r="L35" i="8" s="1"/>
  <c r="K34" i="8"/>
  <c r="L34" i="8" s="1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K23" i="8"/>
  <c r="L23" i="8" s="1"/>
  <c r="K22" i="8"/>
  <c r="L22" i="8" s="1"/>
  <c r="K21" i="8"/>
  <c r="L21" i="8" s="1"/>
  <c r="K20" i="8"/>
  <c r="L20" i="8" s="1"/>
  <c r="K19" i="8"/>
  <c r="L19" i="8" s="1"/>
  <c r="K18" i="8"/>
  <c r="L18" i="8" s="1"/>
  <c r="K17" i="8"/>
  <c r="L17" i="8" s="1"/>
  <c r="K16" i="8"/>
  <c r="L16" i="8" s="1"/>
  <c r="K15" i="8"/>
  <c r="L15" i="8" s="1"/>
  <c r="K14" i="8"/>
  <c r="L14" i="8" s="1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K3" i="8"/>
  <c r="L3" i="8" s="1"/>
  <c r="M2" i="8"/>
  <c r="K2" i="8"/>
  <c r="L2" i="8" s="1"/>
  <c r="BN267" i="8" l="1"/>
  <c r="BI267" i="8"/>
  <c r="BG267" i="8"/>
  <c r="BF267" i="8"/>
  <c r="BE267" i="8"/>
  <c r="BD267" i="8"/>
  <c r="BC267" i="8"/>
  <c r="BB267" i="8"/>
  <c r="AY267" i="8"/>
  <c r="AX267" i="8"/>
  <c r="BA267" i="8" s="1"/>
  <c r="AW267" i="8"/>
  <c r="AZ267" i="8" l="1"/>
  <c r="BJ267" i="8"/>
  <c r="BN509" i="8"/>
  <c r="BI509" i="8"/>
  <c r="BG509" i="8"/>
  <c r="BF509" i="8"/>
  <c r="BE509" i="8"/>
  <c r="BD509" i="8"/>
  <c r="BC509" i="8"/>
  <c r="BB509" i="8"/>
  <c r="AY509" i="8"/>
  <c r="AX509" i="8"/>
  <c r="AW509" i="8"/>
  <c r="BE531" i="8"/>
  <c r="BF531" i="8"/>
  <c r="BG531" i="8"/>
  <c r="AY339" i="8"/>
  <c r="AY349" i="8"/>
  <c r="AY350" i="8"/>
  <c r="AY471" i="8"/>
  <c r="AY472" i="8"/>
  <c r="AY338" i="8"/>
  <c r="AY341" i="8"/>
  <c r="AY342" i="8"/>
  <c r="AY343" i="8"/>
  <c r="AY351" i="8"/>
  <c r="AY473" i="8"/>
  <c r="AY340" i="8"/>
  <c r="BB471" i="8"/>
  <c r="BE453" i="8"/>
  <c r="BE445" i="8"/>
  <c r="BE434" i="8"/>
  <c r="BD433" i="8"/>
  <c r="BE417" i="8"/>
  <c r="BB343" i="8"/>
  <c r="BB342" i="8"/>
  <c r="BB338" i="8"/>
  <c r="BE241" i="8"/>
  <c r="BE240" i="8"/>
  <c r="BE223" i="8"/>
  <c r="BE215" i="8"/>
  <c r="BE195" i="8"/>
  <c r="BE161" i="8"/>
  <c r="BE162" i="8"/>
  <c r="BE163" i="8"/>
  <c r="BE160" i="8"/>
  <c r="BE126" i="8"/>
  <c r="BE116" i="8"/>
  <c r="BE87" i="8"/>
  <c r="BE77" i="8"/>
  <c r="BE65" i="8"/>
  <c r="BE66" i="8"/>
  <c r="BE64" i="8"/>
  <c r="BE46" i="8"/>
  <c r="BE32" i="8"/>
  <c r="BN475" i="8"/>
  <c r="BN474" i="8"/>
  <c r="BN501" i="8"/>
  <c r="BN318" i="8"/>
  <c r="BN317" i="8"/>
  <c r="BN316" i="8"/>
  <c r="BN315" i="8"/>
  <c r="BN486" i="8"/>
  <c r="BN485" i="8"/>
  <c r="BN484" i="8"/>
  <c r="BN483" i="8"/>
  <c r="BN482" i="8"/>
  <c r="BN481" i="8"/>
  <c r="BN480" i="8"/>
  <c r="BN479" i="8"/>
  <c r="BN478" i="8"/>
  <c r="BN477" i="8"/>
  <c r="BN473" i="8"/>
  <c r="BN472" i="8"/>
  <c r="BN471" i="8"/>
  <c r="BN470" i="8"/>
  <c r="BN469" i="8"/>
  <c r="BN468" i="8"/>
  <c r="BN467" i="8"/>
  <c r="BN466" i="8"/>
  <c r="BN465" i="8"/>
  <c r="BN464" i="8"/>
  <c r="BN463" i="8"/>
  <c r="BN462" i="8"/>
  <c r="BN461" i="8"/>
  <c r="BN460" i="8"/>
  <c r="BN459" i="8"/>
  <c r="BN458" i="8"/>
  <c r="BN457" i="8"/>
  <c r="BN456" i="8"/>
  <c r="BN455" i="8"/>
  <c r="BN454" i="8"/>
  <c r="BN453" i="8"/>
  <c r="BN452" i="8"/>
  <c r="BN451" i="8"/>
  <c r="BN450" i="8"/>
  <c r="BN449" i="8"/>
  <c r="BN448" i="8"/>
  <c r="BN447" i="8"/>
  <c r="BN446" i="8"/>
  <c r="BN445" i="8"/>
  <c r="BN444" i="8"/>
  <c r="BN443" i="8"/>
  <c r="BN442" i="8"/>
  <c r="BN441" i="8"/>
  <c r="BN440" i="8"/>
  <c r="BN439" i="8"/>
  <c r="BN438" i="8"/>
  <c r="BN437" i="8"/>
  <c r="BN436" i="8"/>
  <c r="BN435" i="8"/>
  <c r="BN434" i="8"/>
  <c r="BN433" i="8"/>
  <c r="BN432" i="8"/>
  <c r="BN431" i="8"/>
  <c r="BN430" i="8"/>
  <c r="BN429" i="8"/>
  <c r="BN428" i="8"/>
  <c r="BN427" i="8"/>
  <c r="BN426" i="8"/>
  <c r="BN425" i="8"/>
  <c r="BN424" i="8"/>
  <c r="BN423" i="8"/>
  <c r="BN422" i="8"/>
  <c r="BN421" i="8"/>
  <c r="BN420" i="8"/>
  <c r="BN419" i="8"/>
  <c r="BN418" i="8"/>
  <c r="BN417" i="8"/>
  <c r="BN416" i="8"/>
  <c r="BN415" i="8"/>
  <c r="BN414" i="8"/>
  <c r="BN413" i="8"/>
  <c r="BN412" i="8"/>
  <c r="BN411" i="8"/>
  <c r="BN410" i="8"/>
  <c r="BN409" i="8"/>
  <c r="BN408" i="8"/>
  <c r="BN407" i="8"/>
  <c r="BN406" i="8"/>
  <c r="BN405" i="8"/>
  <c r="BN404" i="8"/>
  <c r="BN403" i="8"/>
  <c r="BN402" i="8"/>
  <c r="BN401" i="8"/>
  <c r="BN400" i="8"/>
  <c r="BN399" i="8"/>
  <c r="BN398" i="8"/>
  <c r="BN397" i="8"/>
  <c r="BN396" i="8"/>
  <c r="BN395" i="8"/>
  <c r="BN394" i="8"/>
  <c r="BN393" i="8"/>
  <c r="BN392" i="8"/>
  <c r="BN391" i="8"/>
  <c r="BN378" i="8"/>
  <c r="BN377" i="8"/>
  <c r="BN376" i="8"/>
  <c r="BN375" i="8"/>
  <c r="BN374" i="8"/>
  <c r="BN373" i="8"/>
  <c r="BN372" i="8"/>
  <c r="BN371" i="8"/>
  <c r="BN370" i="8"/>
  <c r="BN369" i="8"/>
  <c r="BN368" i="8"/>
  <c r="BN367" i="8"/>
  <c r="BN366" i="8"/>
  <c r="BN365" i="8"/>
  <c r="BN364" i="8"/>
  <c r="BN363" i="8"/>
  <c r="BN362" i="8"/>
  <c r="BN361" i="8"/>
  <c r="BN360" i="8"/>
  <c r="BN359" i="8"/>
  <c r="BN358" i="8"/>
  <c r="BN357" i="8"/>
  <c r="BN356" i="8"/>
  <c r="BN355" i="8"/>
  <c r="BN354" i="8"/>
  <c r="BN353" i="8"/>
  <c r="BN352" i="8"/>
  <c r="BN351" i="8"/>
  <c r="BN350" i="8"/>
  <c r="BN349" i="8"/>
  <c r="BN348" i="8"/>
  <c r="BN347" i="8"/>
  <c r="BN346" i="8"/>
  <c r="BN345" i="8"/>
  <c r="BN344" i="8"/>
  <c r="BN343" i="8"/>
  <c r="BN342" i="8"/>
  <c r="BN341" i="8"/>
  <c r="BN340" i="8"/>
  <c r="BN339" i="8"/>
  <c r="BN338" i="8"/>
  <c r="BN337" i="8"/>
  <c r="BN336" i="8"/>
  <c r="BN335" i="8"/>
  <c r="BN334" i="8"/>
  <c r="BN333" i="8"/>
  <c r="BN332" i="8"/>
  <c r="BN331" i="8"/>
  <c r="BN330" i="8"/>
  <c r="BN329" i="8"/>
  <c r="BN328" i="8"/>
  <c r="BN327" i="8"/>
  <c r="BN326" i="8"/>
  <c r="BN325" i="8"/>
  <c r="BN322" i="8"/>
  <c r="BN476" i="8"/>
  <c r="BN314" i="8"/>
  <c r="BN313" i="8"/>
  <c r="BN312" i="8"/>
  <c r="BN311" i="8"/>
  <c r="BN310" i="8"/>
  <c r="BN309" i="8"/>
  <c r="BN308" i="8"/>
  <c r="BN307" i="8"/>
  <c r="BN306" i="8"/>
  <c r="BN305" i="8"/>
  <c r="BN304" i="8"/>
  <c r="BN303" i="8"/>
  <c r="BN302" i="8"/>
  <c r="BN301" i="8"/>
  <c r="BN300" i="8"/>
  <c r="BN299" i="8"/>
  <c r="BN298" i="8"/>
  <c r="BN297" i="8"/>
  <c r="BN296" i="8"/>
  <c r="BN295" i="8"/>
  <c r="BN294" i="8"/>
  <c r="BN293" i="8"/>
  <c r="BN292" i="8"/>
  <c r="BN291" i="8"/>
  <c r="BN290" i="8"/>
  <c r="BN289" i="8"/>
  <c r="BN288" i="8"/>
  <c r="BN287" i="8"/>
  <c r="BN286" i="8"/>
  <c r="BN285" i="8"/>
  <c r="BN284" i="8"/>
  <c r="BN283" i="8"/>
  <c r="BN282" i="8"/>
  <c r="BN281" i="8"/>
  <c r="BN280" i="8"/>
  <c r="BN279" i="8"/>
  <c r="BN278" i="8"/>
  <c r="BN277" i="8"/>
  <c r="BN276" i="8"/>
  <c r="BN275" i="8"/>
  <c r="BN274" i="8"/>
  <c r="BN273" i="8"/>
  <c r="BN272" i="8"/>
  <c r="BN271" i="8"/>
  <c r="BN270" i="8"/>
  <c r="BN269" i="8"/>
  <c r="BN268" i="8"/>
  <c r="BN266" i="8"/>
  <c r="BN265" i="8"/>
  <c r="BN264" i="8"/>
  <c r="BN263" i="8"/>
  <c r="BN262" i="8"/>
  <c r="BN261" i="8"/>
  <c r="BN260" i="8"/>
  <c r="BN259" i="8"/>
  <c r="BN258" i="8"/>
  <c r="BN257" i="8"/>
  <c r="BN256" i="8"/>
  <c r="BN255" i="8"/>
  <c r="BN254" i="8"/>
  <c r="BN253" i="8"/>
  <c r="BN252" i="8"/>
  <c r="BN251" i="8"/>
  <c r="BN250" i="8"/>
  <c r="BN249" i="8"/>
  <c r="BN248" i="8"/>
  <c r="BN247" i="8"/>
  <c r="BN246" i="8"/>
  <c r="BN245" i="8"/>
  <c r="BN244" i="8"/>
  <c r="BN243" i="8"/>
  <c r="BN242" i="8"/>
  <c r="BN241" i="8"/>
  <c r="BN240" i="8"/>
  <c r="BN239" i="8"/>
  <c r="BN238" i="8"/>
  <c r="BN237" i="8"/>
  <c r="BN236" i="8"/>
  <c r="BN235" i="8"/>
  <c r="BN234" i="8"/>
  <c r="BN233" i="8"/>
  <c r="BN232" i="8"/>
  <c r="BN231" i="8"/>
  <c r="BN230" i="8"/>
  <c r="BN229" i="8"/>
  <c r="BN228" i="8"/>
  <c r="BN227" i="8"/>
  <c r="BN226" i="8"/>
  <c r="BN225" i="8"/>
  <c r="BN224" i="8"/>
  <c r="BN223" i="8"/>
  <c r="BN222" i="8"/>
  <c r="BN221" i="8"/>
  <c r="BN220" i="8"/>
  <c r="BN219" i="8"/>
  <c r="BN218" i="8"/>
  <c r="BN217" i="8"/>
  <c r="BN216" i="8"/>
  <c r="BN215" i="8"/>
  <c r="BN214" i="8"/>
  <c r="BN213" i="8"/>
  <c r="BN212" i="8"/>
  <c r="BN211" i="8"/>
  <c r="BN210" i="8"/>
  <c r="BN209" i="8"/>
  <c r="BN208" i="8"/>
  <c r="BN207" i="8"/>
  <c r="BN206" i="8"/>
  <c r="BN205" i="8"/>
  <c r="BN204" i="8"/>
  <c r="BN203" i="8"/>
  <c r="BN202" i="8"/>
  <c r="BN201" i="8"/>
  <c r="BN200" i="8"/>
  <c r="BN199" i="8"/>
  <c r="BN198" i="8"/>
  <c r="BN197" i="8"/>
  <c r="BN196" i="8"/>
  <c r="BN195" i="8"/>
  <c r="BN194" i="8"/>
  <c r="BN193" i="8"/>
  <c r="BN192" i="8"/>
  <c r="BN191" i="8"/>
  <c r="BN190" i="8"/>
  <c r="BN189" i="8"/>
  <c r="BN188" i="8"/>
  <c r="BN187" i="8"/>
  <c r="BN185" i="8"/>
  <c r="BN184" i="8"/>
  <c r="BN183" i="8"/>
  <c r="BN182" i="8"/>
  <c r="BN181" i="8"/>
  <c r="BN180" i="8"/>
  <c r="BN179" i="8"/>
  <c r="BN178" i="8"/>
  <c r="BN177" i="8"/>
  <c r="BN176" i="8"/>
  <c r="BN175" i="8"/>
  <c r="BN174" i="8"/>
  <c r="BN173" i="8"/>
  <c r="BN172" i="8"/>
  <c r="BN171" i="8"/>
  <c r="BN170" i="8"/>
  <c r="BN169" i="8"/>
  <c r="BN168" i="8"/>
  <c r="BN167" i="8"/>
  <c r="BN166" i="8"/>
  <c r="BN165" i="8"/>
  <c r="BN164" i="8"/>
  <c r="BN163" i="8"/>
  <c r="BN162" i="8"/>
  <c r="BN161" i="8"/>
  <c r="BN160" i="8"/>
  <c r="BN159" i="8"/>
  <c r="BN158" i="8"/>
  <c r="BN157" i="8"/>
  <c r="BN156" i="8"/>
  <c r="BN155" i="8"/>
  <c r="BN154" i="8"/>
  <c r="BN153" i="8"/>
  <c r="BN152" i="8"/>
  <c r="BN151" i="8"/>
  <c r="BN150" i="8"/>
  <c r="BN149" i="8"/>
  <c r="BN148" i="8"/>
  <c r="BN147" i="8"/>
  <c r="BN146" i="8"/>
  <c r="BN145" i="8"/>
  <c r="BN144" i="8"/>
  <c r="BN143" i="8"/>
  <c r="BN142" i="8"/>
  <c r="BN141" i="8"/>
  <c r="BN140" i="8"/>
  <c r="BN139" i="8"/>
  <c r="BN138" i="8"/>
  <c r="BN137" i="8"/>
  <c r="BN136" i="8"/>
  <c r="BN135" i="8"/>
  <c r="BN134" i="8"/>
  <c r="BN133" i="8"/>
  <c r="BN132" i="8"/>
  <c r="BN131" i="8"/>
  <c r="BN130" i="8"/>
  <c r="BN129" i="8"/>
  <c r="BN128" i="8"/>
  <c r="BN127" i="8"/>
  <c r="BN126" i="8"/>
  <c r="BN125" i="8"/>
  <c r="BN124" i="8"/>
  <c r="BN123" i="8"/>
  <c r="BN122" i="8"/>
  <c r="BN121" i="8"/>
  <c r="BN120" i="8"/>
  <c r="BN119" i="8"/>
  <c r="BN118" i="8"/>
  <c r="BN117" i="8"/>
  <c r="BN116" i="8"/>
  <c r="BN115" i="8"/>
  <c r="BN114" i="8"/>
  <c r="BN113" i="8"/>
  <c r="BN112" i="8"/>
  <c r="BN111" i="8"/>
  <c r="BN110" i="8"/>
  <c r="BN109" i="8"/>
  <c r="BN108" i="8"/>
  <c r="BN107" i="8"/>
  <c r="BN106" i="8"/>
  <c r="BN105" i="8"/>
  <c r="BN104" i="8"/>
  <c r="BN103" i="8"/>
  <c r="BN102" i="8"/>
  <c r="BN101" i="8"/>
  <c r="BN100" i="8"/>
  <c r="BN99" i="8"/>
  <c r="BN98" i="8"/>
  <c r="BN97" i="8"/>
  <c r="BN96" i="8"/>
  <c r="BN95" i="8"/>
  <c r="BN94" i="8"/>
  <c r="BN93" i="8"/>
  <c r="BN92" i="8"/>
  <c r="BN91" i="8"/>
  <c r="BN90" i="8"/>
  <c r="BN89" i="8"/>
  <c r="BN88" i="8"/>
  <c r="BN87" i="8"/>
  <c r="BN86" i="8"/>
  <c r="BN85" i="8"/>
  <c r="BN84" i="8"/>
  <c r="BN83" i="8"/>
  <c r="BN82" i="8"/>
  <c r="BN81" i="8"/>
  <c r="BN80" i="8"/>
  <c r="BN79" i="8"/>
  <c r="BN78" i="8"/>
  <c r="BN77" i="8"/>
  <c r="BN76" i="8"/>
  <c r="BN75" i="8"/>
  <c r="BN74" i="8"/>
  <c r="BN73" i="8"/>
  <c r="BN72" i="8"/>
  <c r="BN71" i="8"/>
  <c r="BN70" i="8"/>
  <c r="BN69" i="8"/>
  <c r="BN68" i="8"/>
  <c r="BN67" i="8"/>
  <c r="BN66" i="8"/>
  <c r="BN65" i="8"/>
  <c r="BN64" i="8"/>
  <c r="BN63" i="8"/>
  <c r="BN62" i="8"/>
  <c r="BN61" i="8"/>
  <c r="BN60" i="8"/>
  <c r="BN59" i="8"/>
  <c r="BN58" i="8"/>
  <c r="BN57" i="8"/>
  <c r="BN56" i="8"/>
  <c r="BN55" i="8"/>
  <c r="BN54" i="8"/>
  <c r="BN53" i="8"/>
  <c r="BN52" i="8"/>
  <c r="BN51" i="8"/>
  <c r="BN50" i="8"/>
  <c r="BN49" i="8"/>
  <c r="BN48" i="8"/>
  <c r="BN47" i="8"/>
  <c r="BN46" i="8"/>
  <c r="BN45" i="8"/>
  <c r="BN44" i="8"/>
  <c r="BN43" i="8"/>
  <c r="BN42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9" i="8"/>
  <c r="BN28" i="8"/>
  <c r="BN27" i="8"/>
  <c r="BN26" i="8"/>
  <c r="BN25" i="8"/>
  <c r="BI474" i="8"/>
  <c r="BI475" i="8"/>
  <c r="BI315" i="8"/>
  <c r="BI316" i="8"/>
  <c r="BI317" i="8"/>
  <c r="BI318" i="8"/>
  <c r="BI501" i="8"/>
  <c r="BI503" i="8"/>
  <c r="BI485" i="8"/>
  <c r="BI486" i="8"/>
  <c r="BI415" i="8"/>
  <c r="BI416" i="8"/>
  <c r="BI417" i="8"/>
  <c r="BI418" i="8"/>
  <c r="BI419" i="8"/>
  <c r="BI420" i="8"/>
  <c r="BI421" i="8"/>
  <c r="BI422" i="8"/>
  <c r="BI423" i="8"/>
  <c r="BI424" i="8"/>
  <c r="BI425" i="8"/>
  <c r="BI426" i="8"/>
  <c r="BI427" i="8"/>
  <c r="BI428" i="8"/>
  <c r="BI429" i="8"/>
  <c r="BI430" i="8"/>
  <c r="BI431" i="8"/>
  <c r="BI432" i="8"/>
  <c r="BI433" i="8"/>
  <c r="BI434" i="8"/>
  <c r="BI435" i="8"/>
  <c r="BI436" i="8"/>
  <c r="BI437" i="8"/>
  <c r="BI438" i="8"/>
  <c r="BI439" i="8"/>
  <c r="BI440" i="8"/>
  <c r="BI441" i="8"/>
  <c r="BI442" i="8"/>
  <c r="BI443" i="8"/>
  <c r="BI444" i="8"/>
  <c r="BI445" i="8"/>
  <c r="BI446" i="8"/>
  <c r="BI447" i="8"/>
  <c r="BI448" i="8"/>
  <c r="BI449" i="8"/>
  <c r="BI450" i="8"/>
  <c r="BI451" i="8"/>
  <c r="BI452" i="8"/>
  <c r="BI453" i="8"/>
  <c r="BI454" i="8"/>
  <c r="BI455" i="8"/>
  <c r="BI456" i="8"/>
  <c r="BI457" i="8"/>
  <c r="BI458" i="8"/>
  <c r="BI459" i="8"/>
  <c r="BI460" i="8"/>
  <c r="BI461" i="8"/>
  <c r="BI462" i="8"/>
  <c r="BI463" i="8"/>
  <c r="BI464" i="8"/>
  <c r="BI465" i="8"/>
  <c r="BI466" i="8"/>
  <c r="BI467" i="8"/>
  <c r="BI468" i="8"/>
  <c r="BI469" i="8"/>
  <c r="BI470" i="8"/>
  <c r="BI471" i="8"/>
  <c r="BI472" i="8"/>
  <c r="BI473" i="8"/>
  <c r="BI477" i="8"/>
  <c r="BI478" i="8"/>
  <c r="BI479" i="8"/>
  <c r="BI480" i="8"/>
  <c r="BI481" i="8"/>
  <c r="BI482" i="8"/>
  <c r="BI483" i="8"/>
  <c r="BI484" i="8"/>
  <c r="BI41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I42" i="8"/>
  <c r="BI43" i="8"/>
  <c r="BI44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I63" i="8"/>
  <c r="BI64" i="8"/>
  <c r="BI65" i="8"/>
  <c r="BI66" i="8"/>
  <c r="BI67" i="8"/>
  <c r="BI68" i="8"/>
  <c r="BI69" i="8"/>
  <c r="BI70" i="8"/>
  <c r="BI71" i="8"/>
  <c r="BI72" i="8"/>
  <c r="BI73" i="8"/>
  <c r="BI74" i="8"/>
  <c r="BI75" i="8"/>
  <c r="BI76" i="8"/>
  <c r="BI77" i="8"/>
  <c r="BI78" i="8"/>
  <c r="BI79" i="8"/>
  <c r="BI80" i="8"/>
  <c r="BI81" i="8"/>
  <c r="BI82" i="8"/>
  <c r="BI83" i="8"/>
  <c r="BI84" i="8"/>
  <c r="BI85" i="8"/>
  <c r="BI86" i="8"/>
  <c r="BI87" i="8"/>
  <c r="BI88" i="8"/>
  <c r="BI89" i="8"/>
  <c r="BI90" i="8"/>
  <c r="BI91" i="8"/>
  <c r="BI92" i="8"/>
  <c r="BI93" i="8"/>
  <c r="BI94" i="8"/>
  <c r="BI95" i="8"/>
  <c r="BI96" i="8"/>
  <c r="BI97" i="8"/>
  <c r="BI98" i="8"/>
  <c r="BI99" i="8"/>
  <c r="BI100" i="8"/>
  <c r="BI101" i="8"/>
  <c r="BI102" i="8"/>
  <c r="BI103" i="8"/>
  <c r="BI104" i="8"/>
  <c r="BI105" i="8"/>
  <c r="BI106" i="8"/>
  <c r="BI107" i="8"/>
  <c r="BI108" i="8"/>
  <c r="BI109" i="8"/>
  <c r="BI110" i="8"/>
  <c r="BI111" i="8"/>
  <c r="BI112" i="8"/>
  <c r="BI113" i="8"/>
  <c r="BI114" i="8"/>
  <c r="BI115" i="8"/>
  <c r="BI116" i="8"/>
  <c r="BI117" i="8"/>
  <c r="BI118" i="8"/>
  <c r="BI119" i="8"/>
  <c r="BI120" i="8"/>
  <c r="BI121" i="8"/>
  <c r="BI122" i="8"/>
  <c r="BI123" i="8"/>
  <c r="BI124" i="8"/>
  <c r="BI125" i="8"/>
  <c r="BI126" i="8"/>
  <c r="BI127" i="8"/>
  <c r="BI128" i="8"/>
  <c r="BI129" i="8"/>
  <c r="BI130" i="8"/>
  <c r="BI131" i="8"/>
  <c r="BI132" i="8"/>
  <c r="BI133" i="8"/>
  <c r="BI134" i="8"/>
  <c r="BI135" i="8"/>
  <c r="BI136" i="8"/>
  <c r="BI137" i="8"/>
  <c r="BI138" i="8"/>
  <c r="BI139" i="8"/>
  <c r="BI140" i="8"/>
  <c r="BI141" i="8"/>
  <c r="BI142" i="8"/>
  <c r="BI143" i="8"/>
  <c r="BI144" i="8"/>
  <c r="BI145" i="8"/>
  <c r="BI147" i="8"/>
  <c r="BI148" i="8"/>
  <c r="BI149" i="8"/>
  <c r="BI150" i="8"/>
  <c r="BI151" i="8"/>
  <c r="BI152" i="8"/>
  <c r="BI153" i="8"/>
  <c r="BI154" i="8"/>
  <c r="BI155" i="8"/>
  <c r="BI156" i="8"/>
  <c r="BI157" i="8"/>
  <c r="BI158" i="8"/>
  <c r="BI159" i="8"/>
  <c r="BI160" i="8"/>
  <c r="BI161" i="8"/>
  <c r="BI162" i="8"/>
  <c r="BI163" i="8"/>
  <c r="BI164" i="8"/>
  <c r="BI165" i="8"/>
  <c r="BI166" i="8"/>
  <c r="BI167" i="8"/>
  <c r="BI168" i="8"/>
  <c r="BI169" i="8"/>
  <c r="BI170" i="8"/>
  <c r="BI171" i="8"/>
  <c r="BI172" i="8"/>
  <c r="BI173" i="8"/>
  <c r="BI174" i="8"/>
  <c r="BI175" i="8"/>
  <c r="BI176" i="8"/>
  <c r="BI177" i="8"/>
  <c r="BI178" i="8"/>
  <c r="BI179" i="8"/>
  <c r="BI180" i="8"/>
  <c r="BI181" i="8"/>
  <c r="BI182" i="8"/>
  <c r="BI183" i="8"/>
  <c r="BI184" i="8"/>
  <c r="BI185" i="8"/>
  <c r="BI186" i="8"/>
  <c r="BI187" i="8"/>
  <c r="BI188" i="8"/>
  <c r="BI189" i="8"/>
  <c r="BI190" i="8"/>
  <c r="BI191" i="8"/>
  <c r="BI192" i="8"/>
  <c r="BI193" i="8"/>
  <c r="BI194" i="8"/>
  <c r="BI195" i="8"/>
  <c r="BI196" i="8"/>
  <c r="BI197" i="8"/>
  <c r="BI198" i="8"/>
  <c r="BI199" i="8"/>
  <c r="BI200" i="8"/>
  <c r="BI201" i="8"/>
  <c r="BI202" i="8"/>
  <c r="BI203" i="8"/>
  <c r="BI204" i="8"/>
  <c r="BI205" i="8"/>
  <c r="BI206" i="8"/>
  <c r="BI207" i="8"/>
  <c r="BI208" i="8"/>
  <c r="BI209" i="8"/>
  <c r="BI210" i="8"/>
  <c r="BI211" i="8"/>
  <c r="BI212" i="8"/>
  <c r="BI213" i="8"/>
  <c r="BI214" i="8"/>
  <c r="BI215" i="8"/>
  <c r="BI216" i="8"/>
  <c r="BI217" i="8"/>
  <c r="BI218" i="8"/>
  <c r="BI219" i="8"/>
  <c r="BI220" i="8"/>
  <c r="BI221" i="8"/>
  <c r="BI222" i="8"/>
  <c r="BI223" i="8"/>
  <c r="BI224" i="8"/>
  <c r="BI225" i="8"/>
  <c r="BI226" i="8"/>
  <c r="BI227" i="8"/>
  <c r="BI228" i="8"/>
  <c r="BI229" i="8"/>
  <c r="BI230" i="8"/>
  <c r="BI231" i="8"/>
  <c r="BI232" i="8"/>
  <c r="BI233" i="8"/>
  <c r="BI234" i="8"/>
  <c r="BI235" i="8"/>
  <c r="BI236" i="8"/>
  <c r="BI237" i="8"/>
  <c r="BI238" i="8"/>
  <c r="BI239" i="8"/>
  <c r="BI240" i="8"/>
  <c r="BI241" i="8"/>
  <c r="BI242" i="8"/>
  <c r="BI243" i="8"/>
  <c r="BI244" i="8"/>
  <c r="BI245" i="8"/>
  <c r="BI246" i="8"/>
  <c r="BI247" i="8"/>
  <c r="BI248" i="8"/>
  <c r="BI249" i="8"/>
  <c r="BI250" i="8"/>
  <c r="BI251" i="8"/>
  <c r="BI252" i="8"/>
  <c r="BI253" i="8"/>
  <c r="BI254" i="8"/>
  <c r="BI255" i="8"/>
  <c r="BI256" i="8"/>
  <c r="BI257" i="8"/>
  <c r="BI258" i="8"/>
  <c r="BI259" i="8"/>
  <c r="BI260" i="8"/>
  <c r="BI261" i="8"/>
  <c r="BI262" i="8"/>
  <c r="BI263" i="8"/>
  <c r="BI264" i="8"/>
  <c r="BI265" i="8"/>
  <c r="BI266" i="8"/>
  <c r="BI268" i="8"/>
  <c r="BI269" i="8"/>
  <c r="BI270" i="8"/>
  <c r="BI271" i="8"/>
  <c r="BI272" i="8"/>
  <c r="BI273" i="8"/>
  <c r="BI274" i="8"/>
  <c r="BI275" i="8"/>
  <c r="BI276" i="8"/>
  <c r="BI277" i="8"/>
  <c r="BI278" i="8"/>
  <c r="BI279" i="8"/>
  <c r="BI280" i="8"/>
  <c r="BI281" i="8"/>
  <c r="BI282" i="8"/>
  <c r="BI283" i="8"/>
  <c r="BI284" i="8"/>
  <c r="BI285" i="8"/>
  <c r="BI286" i="8"/>
  <c r="BI287" i="8"/>
  <c r="BI288" i="8"/>
  <c r="BI289" i="8"/>
  <c r="BI290" i="8"/>
  <c r="BI291" i="8"/>
  <c r="BI292" i="8"/>
  <c r="BI293" i="8"/>
  <c r="BI294" i="8"/>
  <c r="BI295" i="8"/>
  <c r="BI296" i="8"/>
  <c r="BI297" i="8"/>
  <c r="BI298" i="8"/>
  <c r="BI299" i="8"/>
  <c r="BI300" i="8"/>
  <c r="BI301" i="8"/>
  <c r="BI302" i="8"/>
  <c r="BI303" i="8"/>
  <c r="BI304" i="8"/>
  <c r="BI305" i="8"/>
  <c r="BI306" i="8"/>
  <c r="BI307" i="8"/>
  <c r="BI308" i="8"/>
  <c r="BI309" i="8"/>
  <c r="BI310" i="8"/>
  <c r="BI311" i="8"/>
  <c r="BI312" i="8"/>
  <c r="BI313" i="8"/>
  <c r="BI314" i="8"/>
  <c r="BI320" i="8"/>
  <c r="BI476" i="8"/>
  <c r="BI322" i="8"/>
  <c r="BI323" i="8"/>
  <c r="BI324" i="8"/>
  <c r="BI325" i="8"/>
  <c r="BI326" i="8"/>
  <c r="BI327" i="8"/>
  <c r="BI328" i="8"/>
  <c r="BI329" i="8"/>
  <c r="BI330" i="8"/>
  <c r="BI331" i="8"/>
  <c r="BI332" i="8"/>
  <c r="BI333" i="8"/>
  <c r="BI334" i="8"/>
  <c r="BI335" i="8"/>
  <c r="BI336" i="8"/>
  <c r="BI337" i="8"/>
  <c r="BI338" i="8"/>
  <c r="BI339" i="8"/>
  <c r="BI340" i="8"/>
  <c r="BI341" i="8"/>
  <c r="BI342" i="8"/>
  <c r="BI343" i="8"/>
  <c r="BI344" i="8"/>
  <c r="BI345" i="8"/>
  <c r="BI346" i="8"/>
  <c r="BI347" i="8"/>
  <c r="BI348" i="8"/>
  <c r="BI349" i="8"/>
  <c r="BI350" i="8"/>
  <c r="BI351" i="8"/>
  <c r="BI352" i="8"/>
  <c r="BI353" i="8"/>
  <c r="BI354" i="8"/>
  <c r="BI355" i="8"/>
  <c r="BI356" i="8"/>
  <c r="BI357" i="8"/>
  <c r="BI358" i="8"/>
  <c r="BI359" i="8"/>
  <c r="BI360" i="8"/>
  <c r="BI361" i="8"/>
  <c r="BI362" i="8"/>
  <c r="BI363" i="8"/>
  <c r="BI364" i="8"/>
  <c r="BI365" i="8"/>
  <c r="BI366" i="8"/>
  <c r="BI367" i="8"/>
  <c r="BI368" i="8"/>
  <c r="BI369" i="8"/>
  <c r="BI370" i="8"/>
  <c r="BI371" i="8"/>
  <c r="BI372" i="8"/>
  <c r="BI373" i="8"/>
  <c r="BI374" i="8"/>
  <c r="BI375" i="8"/>
  <c r="BI376" i="8"/>
  <c r="BI377" i="8"/>
  <c r="BI378" i="8"/>
  <c r="BI391" i="8"/>
  <c r="BI392" i="8"/>
  <c r="BI393" i="8"/>
  <c r="BI394" i="8"/>
  <c r="BI395" i="8"/>
  <c r="BI396" i="8"/>
  <c r="BI397" i="8"/>
  <c r="BI398" i="8"/>
  <c r="BI399" i="8"/>
  <c r="BI400" i="8"/>
  <c r="BI401" i="8"/>
  <c r="BI402" i="8"/>
  <c r="BI403" i="8"/>
  <c r="BI404" i="8"/>
  <c r="BI405" i="8"/>
  <c r="BI406" i="8"/>
  <c r="BI407" i="8"/>
  <c r="BI408" i="8"/>
  <c r="BI409" i="8"/>
  <c r="BI410" i="8"/>
  <c r="BI411" i="8"/>
  <c r="BI412" i="8"/>
  <c r="BI413" i="8"/>
  <c r="BG474" i="8"/>
  <c r="BG475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G92" i="8"/>
  <c r="BG93" i="8"/>
  <c r="BG94" i="8"/>
  <c r="BG95" i="8"/>
  <c r="BG96" i="8"/>
  <c r="BG97" i="8"/>
  <c r="BG98" i="8"/>
  <c r="BG99" i="8"/>
  <c r="BG100" i="8"/>
  <c r="BG101" i="8"/>
  <c r="BG102" i="8"/>
  <c r="BG103" i="8"/>
  <c r="BG104" i="8"/>
  <c r="BG105" i="8"/>
  <c r="BG106" i="8"/>
  <c r="BG107" i="8"/>
  <c r="BG108" i="8"/>
  <c r="BG109" i="8"/>
  <c r="BG110" i="8"/>
  <c r="BG111" i="8"/>
  <c r="BG112" i="8"/>
  <c r="BG113" i="8"/>
  <c r="BG114" i="8"/>
  <c r="BG115" i="8"/>
  <c r="BG116" i="8"/>
  <c r="BG117" i="8"/>
  <c r="BG118" i="8"/>
  <c r="BG119" i="8"/>
  <c r="BG120" i="8"/>
  <c r="BG121" i="8"/>
  <c r="BG122" i="8"/>
  <c r="BG123" i="8"/>
  <c r="BG124" i="8"/>
  <c r="BG125" i="8"/>
  <c r="BG126" i="8"/>
  <c r="BG127" i="8"/>
  <c r="BG128" i="8"/>
  <c r="BG129" i="8"/>
  <c r="BG130" i="8"/>
  <c r="BG131" i="8"/>
  <c r="BG132" i="8"/>
  <c r="BG133" i="8"/>
  <c r="BG134" i="8"/>
  <c r="BG135" i="8"/>
  <c r="BG136" i="8"/>
  <c r="BG137" i="8"/>
  <c r="BG138" i="8"/>
  <c r="BG139" i="8"/>
  <c r="BG140" i="8"/>
  <c r="BG141" i="8"/>
  <c r="BG142" i="8"/>
  <c r="BG143" i="8"/>
  <c r="BG144" i="8"/>
  <c r="BG145" i="8"/>
  <c r="BG146" i="8"/>
  <c r="BG147" i="8"/>
  <c r="BG148" i="8"/>
  <c r="BG149" i="8"/>
  <c r="BG150" i="8"/>
  <c r="BG151" i="8"/>
  <c r="BG152" i="8"/>
  <c r="BG153" i="8"/>
  <c r="BG154" i="8"/>
  <c r="BG155" i="8"/>
  <c r="BG156" i="8"/>
  <c r="BG157" i="8"/>
  <c r="BG158" i="8"/>
  <c r="BG159" i="8"/>
  <c r="BG160" i="8"/>
  <c r="BG161" i="8"/>
  <c r="BG162" i="8"/>
  <c r="BG163" i="8"/>
  <c r="BG164" i="8"/>
  <c r="BG165" i="8"/>
  <c r="BG166" i="8"/>
  <c r="BG167" i="8"/>
  <c r="BG168" i="8"/>
  <c r="BG169" i="8"/>
  <c r="BG170" i="8"/>
  <c r="BG171" i="8"/>
  <c r="BG172" i="8"/>
  <c r="BG173" i="8"/>
  <c r="BG174" i="8"/>
  <c r="BG175" i="8"/>
  <c r="BG176" i="8"/>
  <c r="BG177" i="8"/>
  <c r="BG178" i="8"/>
  <c r="BG179" i="8"/>
  <c r="BG180" i="8"/>
  <c r="BG181" i="8"/>
  <c r="BG182" i="8"/>
  <c r="BG183" i="8"/>
  <c r="BG184" i="8"/>
  <c r="BG185" i="8"/>
  <c r="BG186" i="8"/>
  <c r="BG187" i="8"/>
  <c r="BG188" i="8"/>
  <c r="BG189" i="8"/>
  <c r="BG190" i="8"/>
  <c r="BG191" i="8"/>
  <c r="BG192" i="8"/>
  <c r="BG193" i="8"/>
  <c r="BG194" i="8"/>
  <c r="BG195" i="8"/>
  <c r="BG196" i="8"/>
  <c r="BG197" i="8"/>
  <c r="BG198" i="8"/>
  <c r="BG199" i="8"/>
  <c r="BG200" i="8"/>
  <c r="BG201" i="8"/>
  <c r="BG202" i="8"/>
  <c r="BG203" i="8"/>
  <c r="BG204" i="8"/>
  <c r="BG205" i="8"/>
  <c r="BG206" i="8"/>
  <c r="BG207" i="8"/>
  <c r="BG208" i="8"/>
  <c r="BG209" i="8"/>
  <c r="BG210" i="8"/>
  <c r="BG211" i="8"/>
  <c r="BG212" i="8"/>
  <c r="BG213" i="8"/>
  <c r="BG214" i="8"/>
  <c r="BG215" i="8"/>
  <c r="BG216" i="8"/>
  <c r="BG217" i="8"/>
  <c r="BG218" i="8"/>
  <c r="BG219" i="8"/>
  <c r="BG220" i="8"/>
  <c r="BG221" i="8"/>
  <c r="BG222" i="8"/>
  <c r="BG223" i="8"/>
  <c r="BG224" i="8"/>
  <c r="BG225" i="8"/>
  <c r="BG226" i="8"/>
  <c r="BG227" i="8"/>
  <c r="BG228" i="8"/>
  <c r="BG229" i="8"/>
  <c r="BG230" i="8"/>
  <c r="BG231" i="8"/>
  <c r="BG232" i="8"/>
  <c r="BG233" i="8"/>
  <c r="BG234" i="8"/>
  <c r="BG235" i="8"/>
  <c r="BG236" i="8"/>
  <c r="BG237" i="8"/>
  <c r="BG238" i="8"/>
  <c r="BG239" i="8"/>
  <c r="BG240" i="8"/>
  <c r="BG241" i="8"/>
  <c r="BG242" i="8"/>
  <c r="BG243" i="8"/>
  <c r="BG244" i="8"/>
  <c r="BG245" i="8"/>
  <c r="BG246" i="8"/>
  <c r="BG247" i="8"/>
  <c r="BG248" i="8"/>
  <c r="BG249" i="8"/>
  <c r="BG250" i="8"/>
  <c r="BG251" i="8"/>
  <c r="BG252" i="8"/>
  <c r="BG253" i="8"/>
  <c r="BG254" i="8"/>
  <c r="BG255" i="8"/>
  <c r="BG256" i="8"/>
  <c r="BG257" i="8"/>
  <c r="BG258" i="8"/>
  <c r="BG259" i="8"/>
  <c r="BG260" i="8"/>
  <c r="BG261" i="8"/>
  <c r="BG262" i="8"/>
  <c r="BG263" i="8"/>
  <c r="BG264" i="8"/>
  <c r="BG265" i="8"/>
  <c r="BG266" i="8"/>
  <c r="BG268" i="8"/>
  <c r="BG269" i="8"/>
  <c r="BG270" i="8"/>
  <c r="BG271" i="8"/>
  <c r="BG272" i="8"/>
  <c r="BG273" i="8"/>
  <c r="BG274" i="8"/>
  <c r="BG275" i="8"/>
  <c r="BG276" i="8"/>
  <c r="BG277" i="8"/>
  <c r="BG278" i="8"/>
  <c r="BG279" i="8"/>
  <c r="BG280" i="8"/>
  <c r="BG281" i="8"/>
  <c r="BG282" i="8"/>
  <c r="BG283" i="8"/>
  <c r="BG284" i="8"/>
  <c r="BG285" i="8"/>
  <c r="BG286" i="8"/>
  <c r="BG287" i="8"/>
  <c r="BG288" i="8"/>
  <c r="BG289" i="8"/>
  <c r="BG290" i="8"/>
  <c r="BG291" i="8"/>
  <c r="BG292" i="8"/>
  <c r="BG293" i="8"/>
  <c r="BG294" i="8"/>
  <c r="BG295" i="8"/>
  <c r="BG296" i="8"/>
  <c r="BG297" i="8"/>
  <c r="BG298" i="8"/>
  <c r="BG299" i="8"/>
  <c r="BG300" i="8"/>
  <c r="BG301" i="8"/>
  <c r="BG302" i="8"/>
  <c r="BG303" i="8"/>
  <c r="BG304" i="8"/>
  <c r="BG305" i="8"/>
  <c r="BG306" i="8"/>
  <c r="BG307" i="8"/>
  <c r="BG308" i="8"/>
  <c r="BG309" i="8"/>
  <c r="BG310" i="8"/>
  <c r="BG311" i="8"/>
  <c r="BG312" i="8"/>
  <c r="BG313" i="8"/>
  <c r="BG314" i="8"/>
  <c r="BG320" i="8"/>
  <c r="BG476" i="8"/>
  <c r="BG322" i="8"/>
  <c r="BG323" i="8"/>
  <c r="BG324" i="8"/>
  <c r="BG325" i="8"/>
  <c r="BG326" i="8"/>
  <c r="BG327" i="8"/>
  <c r="BG328" i="8"/>
  <c r="BG329" i="8"/>
  <c r="BG330" i="8"/>
  <c r="BG331" i="8"/>
  <c r="BG332" i="8"/>
  <c r="BG333" i="8"/>
  <c r="BG334" i="8"/>
  <c r="BG335" i="8"/>
  <c r="BG336" i="8"/>
  <c r="BG337" i="8"/>
  <c r="BG338" i="8"/>
  <c r="BG339" i="8"/>
  <c r="BG340" i="8"/>
  <c r="BG341" i="8"/>
  <c r="BG342" i="8"/>
  <c r="BG343" i="8"/>
  <c r="BG344" i="8"/>
  <c r="BG345" i="8"/>
  <c r="BG346" i="8"/>
  <c r="BG347" i="8"/>
  <c r="BG348" i="8"/>
  <c r="BG349" i="8"/>
  <c r="BG350" i="8"/>
  <c r="BG351" i="8"/>
  <c r="BG352" i="8"/>
  <c r="BG353" i="8"/>
  <c r="BG354" i="8"/>
  <c r="BG355" i="8"/>
  <c r="BG356" i="8"/>
  <c r="BG357" i="8"/>
  <c r="BG358" i="8"/>
  <c r="BG359" i="8"/>
  <c r="BG360" i="8"/>
  <c r="BG361" i="8"/>
  <c r="BG362" i="8"/>
  <c r="BG363" i="8"/>
  <c r="BG364" i="8"/>
  <c r="BG365" i="8"/>
  <c r="BG366" i="8"/>
  <c r="BG367" i="8"/>
  <c r="BG368" i="8"/>
  <c r="BG369" i="8"/>
  <c r="BG370" i="8"/>
  <c r="BG371" i="8"/>
  <c r="BG372" i="8"/>
  <c r="BG373" i="8"/>
  <c r="BG374" i="8"/>
  <c r="BG375" i="8"/>
  <c r="BG376" i="8"/>
  <c r="BG377" i="8"/>
  <c r="BG378" i="8"/>
  <c r="BG391" i="8"/>
  <c r="BG392" i="8"/>
  <c r="BG393" i="8"/>
  <c r="BG394" i="8"/>
  <c r="BG395" i="8"/>
  <c r="BG396" i="8"/>
  <c r="BG397" i="8"/>
  <c r="BG398" i="8"/>
  <c r="BG399" i="8"/>
  <c r="BG400" i="8"/>
  <c r="BG401" i="8"/>
  <c r="BG402" i="8"/>
  <c r="BG403" i="8"/>
  <c r="BG404" i="8"/>
  <c r="BG405" i="8"/>
  <c r="BG406" i="8"/>
  <c r="BG407" i="8"/>
  <c r="BG408" i="8"/>
  <c r="BG409" i="8"/>
  <c r="BG410" i="8"/>
  <c r="BG411" i="8"/>
  <c r="BG412" i="8"/>
  <c r="BG413" i="8"/>
  <c r="BG414" i="8"/>
  <c r="BG415" i="8"/>
  <c r="BG416" i="8"/>
  <c r="BG417" i="8"/>
  <c r="BG418" i="8"/>
  <c r="BG419" i="8"/>
  <c r="BG420" i="8"/>
  <c r="BG421" i="8"/>
  <c r="BG422" i="8"/>
  <c r="BG423" i="8"/>
  <c r="BG424" i="8"/>
  <c r="BG425" i="8"/>
  <c r="BG426" i="8"/>
  <c r="BG427" i="8"/>
  <c r="BG428" i="8"/>
  <c r="BG429" i="8"/>
  <c r="BG430" i="8"/>
  <c r="BG431" i="8"/>
  <c r="BG432" i="8"/>
  <c r="BG433" i="8"/>
  <c r="BG434" i="8"/>
  <c r="BG435" i="8"/>
  <c r="BG436" i="8"/>
  <c r="BG437" i="8"/>
  <c r="BG438" i="8"/>
  <c r="BG439" i="8"/>
  <c r="BG440" i="8"/>
  <c r="BG441" i="8"/>
  <c r="BG442" i="8"/>
  <c r="BG443" i="8"/>
  <c r="BG444" i="8"/>
  <c r="BG445" i="8"/>
  <c r="BG446" i="8"/>
  <c r="BG447" i="8"/>
  <c r="BG448" i="8"/>
  <c r="BG449" i="8"/>
  <c r="BG450" i="8"/>
  <c r="BG451" i="8"/>
  <c r="BG452" i="8"/>
  <c r="BG453" i="8"/>
  <c r="BG454" i="8"/>
  <c r="BG455" i="8"/>
  <c r="BG456" i="8"/>
  <c r="BG457" i="8"/>
  <c r="BG458" i="8"/>
  <c r="BG459" i="8"/>
  <c r="BG460" i="8"/>
  <c r="BG461" i="8"/>
  <c r="BG462" i="8"/>
  <c r="BG463" i="8"/>
  <c r="BG464" i="8"/>
  <c r="BG465" i="8"/>
  <c r="BG466" i="8"/>
  <c r="BG467" i="8"/>
  <c r="BG468" i="8"/>
  <c r="BG469" i="8"/>
  <c r="BG470" i="8"/>
  <c r="BG471" i="8"/>
  <c r="BG472" i="8"/>
  <c r="BG473" i="8"/>
  <c r="BG477" i="8"/>
  <c r="BG478" i="8"/>
  <c r="BG479" i="8"/>
  <c r="BG480" i="8"/>
  <c r="BG481" i="8"/>
  <c r="BG482" i="8"/>
  <c r="BG483" i="8"/>
  <c r="BG484" i="8"/>
  <c r="BG485" i="8"/>
  <c r="BG486" i="8"/>
  <c r="BG315" i="8"/>
  <c r="BG316" i="8"/>
  <c r="BG317" i="8"/>
  <c r="BG318" i="8"/>
  <c r="BG501" i="8"/>
  <c r="BG503" i="8"/>
  <c r="BF474" i="8"/>
  <c r="BF475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87" i="8"/>
  <c r="BF88" i="8"/>
  <c r="BF89" i="8"/>
  <c r="BF90" i="8"/>
  <c r="BF91" i="8"/>
  <c r="BF92" i="8"/>
  <c r="BF93" i="8"/>
  <c r="BF94" i="8"/>
  <c r="BF95" i="8"/>
  <c r="BF96" i="8"/>
  <c r="BF97" i="8"/>
  <c r="BF98" i="8"/>
  <c r="BF99" i="8"/>
  <c r="BF100" i="8"/>
  <c r="BF101" i="8"/>
  <c r="BF102" i="8"/>
  <c r="BF103" i="8"/>
  <c r="BF104" i="8"/>
  <c r="BF105" i="8"/>
  <c r="BF106" i="8"/>
  <c r="BF107" i="8"/>
  <c r="BF108" i="8"/>
  <c r="BF109" i="8"/>
  <c r="BF110" i="8"/>
  <c r="BF111" i="8"/>
  <c r="BF112" i="8"/>
  <c r="BF113" i="8"/>
  <c r="BF114" i="8"/>
  <c r="BF115" i="8"/>
  <c r="BF116" i="8"/>
  <c r="BF117" i="8"/>
  <c r="BF118" i="8"/>
  <c r="BF119" i="8"/>
  <c r="BF120" i="8"/>
  <c r="BF121" i="8"/>
  <c r="BF122" i="8"/>
  <c r="BF123" i="8"/>
  <c r="BF124" i="8"/>
  <c r="BF125" i="8"/>
  <c r="BF126" i="8"/>
  <c r="BF127" i="8"/>
  <c r="BF128" i="8"/>
  <c r="BF129" i="8"/>
  <c r="BF130" i="8"/>
  <c r="BF131" i="8"/>
  <c r="BF132" i="8"/>
  <c r="BF133" i="8"/>
  <c r="BF134" i="8"/>
  <c r="BF135" i="8"/>
  <c r="BF136" i="8"/>
  <c r="BF137" i="8"/>
  <c r="BF138" i="8"/>
  <c r="BF139" i="8"/>
  <c r="BF140" i="8"/>
  <c r="BF141" i="8"/>
  <c r="BF142" i="8"/>
  <c r="BF143" i="8"/>
  <c r="BF144" i="8"/>
  <c r="BF145" i="8"/>
  <c r="BF146" i="8"/>
  <c r="BF147" i="8"/>
  <c r="BF148" i="8"/>
  <c r="BF149" i="8"/>
  <c r="BF150" i="8"/>
  <c r="BF151" i="8"/>
  <c r="BF152" i="8"/>
  <c r="BF153" i="8"/>
  <c r="BF154" i="8"/>
  <c r="BF155" i="8"/>
  <c r="BF156" i="8"/>
  <c r="BF157" i="8"/>
  <c r="BF158" i="8"/>
  <c r="BF159" i="8"/>
  <c r="BF160" i="8"/>
  <c r="BF161" i="8"/>
  <c r="BF162" i="8"/>
  <c r="BF163" i="8"/>
  <c r="BF164" i="8"/>
  <c r="BF165" i="8"/>
  <c r="BF166" i="8"/>
  <c r="BF167" i="8"/>
  <c r="BF168" i="8"/>
  <c r="BF169" i="8"/>
  <c r="BF170" i="8"/>
  <c r="BF171" i="8"/>
  <c r="BF172" i="8"/>
  <c r="BF173" i="8"/>
  <c r="BF174" i="8"/>
  <c r="BF175" i="8"/>
  <c r="BF176" i="8"/>
  <c r="BF177" i="8"/>
  <c r="BF178" i="8"/>
  <c r="BF179" i="8"/>
  <c r="BF180" i="8"/>
  <c r="BF181" i="8"/>
  <c r="BF182" i="8"/>
  <c r="BF183" i="8"/>
  <c r="BF184" i="8"/>
  <c r="BF185" i="8"/>
  <c r="BF186" i="8"/>
  <c r="BF187" i="8"/>
  <c r="BF188" i="8"/>
  <c r="BF189" i="8"/>
  <c r="BF190" i="8"/>
  <c r="BF191" i="8"/>
  <c r="BF192" i="8"/>
  <c r="BF193" i="8"/>
  <c r="BF194" i="8"/>
  <c r="BF195" i="8"/>
  <c r="BF196" i="8"/>
  <c r="BF197" i="8"/>
  <c r="BF198" i="8"/>
  <c r="BF199" i="8"/>
  <c r="BF200" i="8"/>
  <c r="BF201" i="8"/>
  <c r="BF202" i="8"/>
  <c r="BF203" i="8"/>
  <c r="BF204" i="8"/>
  <c r="BF205" i="8"/>
  <c r="BF206" i="8"/>
  <c r="BF207" i="8"/>
  <c r="BF208" i="8"/>
  <c r="BF209" i="8"/>
  <c r="BF210" i="8"/>
  <c r="BF211" i="8"/>
  <c r="BF212" i="8"/>
  <c r="BF213" i="8"/>
  <c r="BF214" i="8"/>
  <c r="BF215" i="8"/>
  <c r="BF216" i="8"/>
  <c r="BF217" i="8"/>
  <c r="BF218" i="8"/>
  <c r="BF219" i="8"/>
  <c r="BF220" i="8"/>
  <c r="BF221" i="8"/>
  <c r="BF222" i="8"/>
  <c r="BF223" i="8"/>
  <c r="BF224" i="8"/>
  <c r="BF225" i="8"/>
  <c r="BF226" i="8"/>
  <c r="BF227" i="8"/>
  <c r="BF228" i="8"/>
  <c r="BF229" i="8"/>
  <c r="BF230" i="8"/>
  <c r="BF231" i="8"/>
  <c r="BF232" i="8"/>
  <c r="BF233" i="8"/>
  <c r="BF234" i="8"/>
  <c r="BF235" i="8"/>
  <c r="BF236" i="8"/>
  <c r="BF237" i="8"/>
  <c r="BF238" i="8"/>
  <c r="BF239" i="8"/>
  <c r="BF240" i="8"/>
  <c r="BF241" i="8"/>
  <c r="BF242" i="8"/>
  <c r="BF243" i="8"/>
  <c r="BF244" i="8"/>
  <c r="BF245" i="8"/>
  <c r="BF246" i="8"/>
  <c r="BF247" i="8"/>
  <c r="BF248" i="8"/>
  <c r="BF249" i="8"/>
  <c r="BF250" i="8"/>
  <c r="BF251" i="8"/>
  <c r="BF252" i="8"/>
  <c r="BF253" i="8"/>
  <c r="BF254" i="8"/>
  <c r="BF255" i="8"/>
  <c r="BF256" i="8"/>
  <c r="BF257" i="8"/>
  <c r="BF258" i="8"/>
  <c r="BF259" i="8"/>
  <c r="BF260" i="8"/>
  <c r="BF261" i="8"/>
  <c r="BF262" i="8"/>
  <c r="BF263" i="8"/>
  <c r="BF264" i="8"/>
  <c r="BF265" i="8"/>
  <c r="BF266" i="8"/>
  <c r="BF268" i="8"/>
  <c r="BF269" i="8"/>
  <c r="BF270" i="8"/>
  <c r="BF271" i="8"/>
  <c r="BF272" i="8"/>
  <c r="BF273" i="8"/>
  <c r="BF274" i="8"/>
  <c r="BF275" i="8"/>
  <c r="BF276" i="8"/>
  <c r="BF277" i="8"/>
  <c r="BF278" i="8"/>
  <c r="BF279" i="8"/>
  <c r="BF280" i="8"/>
  <c r="BF281" i="8"/>
  <c r="BF282" i="8"/>
  <c r="BF283" i="8"/>
  <c r="BF284" i="8"/>
  <c r="BF285" i="8"/>
  <c r="BF286" i="8"/>
  <c r="BF287" i="8"/>
  <c r="BF288" i="8"/>
  <c r="BF289" i="8"/>
  <c r="BF290" i="8"/>
  <c r="BF291" i="8"/>
  <c r="BF292" i="8"/>
  <c r="BF293" i="8"/>
  <c r="BF294" i="8"/>
  <c r="BF295" i="8"/>
  <c r="BF296" i="8"/>
  <c r="BF297" i="8"/>
  <c r="BF298" i="8"/>
  <c r="BF299" i="8"/>
  <c r="BF300" i="8"/>
  <c r="BF301" i="8"/>
  <c r="BF302" i="8"/>
  <c r="BF303" i="8"/>
  <c r="BF304" i="8"/>
  <c r="BF305" i="8"/>
  <c r="BF306" i="8"/>
  <c r="BF307" i="8"/>
  <c r="BF308" i="8"/>
  <c r="BF309" i="8"/>
  <c r="BF310" i="8"/>
  <c r="BF311" i="8"/>
  <c r="BF312" i="8"/>
  <c r="BF313" i="8"/>
  <c r="BF314" i="8"/>
  <c r="BF320" i="8"/>
  <c r="BF476" i="8"/>
  <c r="BF322" i="8"/>
  <c r="BF323" i="8"/>
  <c r="BF324" i="8"/>
  <c r="BF325" i="8"/>
  <c r="BF326" i="8"/>
  <c r="BF327" i="8"/>
  <c r="BF328" i="8"/>
  <c r="BF329" i="8"/>
  <c r="BF330" i="8"/>
  <c r="BF331" i="8"/>
  <c r="BF332" i="8"/>
  <c r="BF333" i="8"/>
  <c r="BF334" i="8"/>
  <c r="BF335" i="8"/>
  <c r="BF336" i="8"/>
  <c r="BF337" i="8"/>
  <c r="BF338" i="8"/>
  <c r="BF339" i="8"/>
  <c r="BF340" i="8"/>
  <c r="BF341" i="8"/>
  <c r="BF342" i="8"/>
  <c r="BF343" i="8"/>
  <c r="BF344" i="8"/>
  <c r="BF345" i="8"/>
  <c r="BF346" i="8"/>
  <c r="BF347" i="8"/>
  <c r="BF348" i="8"/>
  <c r="BF349" i="8"/>
  <c r="BF350" i="8"/>
  <c r="BF351" i="8"/>
  <c r="BF352" i="8"/>
  <c r="BF353" i="8"/>
  <c r="BF354" i="8"/>
  <c r="BF355" i="8"/>
  <c r="BF356" i="8"/>
  <c r="BF357" i="8"/>
  <c r="BF358" i="8"/>
  <c r="BF359" i="8"/>
  <c r="BF360" i="8"/>
  <c r="BF361" i="8"/>
  <c r="BF362" i="8"/>
  <c r="BF363" i="8"/>
  <c r="BF364" i="8"/>
  <c r="BF365" i="8"/>
  <c r="BF366" i="8"/>
  <c r="BF367" i="8"/>
  <c r="BF368" i="8"/>
  <c r="BF369" i="8"/>
  <c r="BF370" i="8"/>
  <c r="BF371" i="8"/>
  <c r="BF372" i="8"/>
  <c r="BF373" i="8"/>
  <c r="BF374" i="8"/>
  <c r="BF375" i="8"/>
  <c r="BF376" i="8"/>
  <c r="BF377" i="8"/>
  <c r="BF378" i="8"/>
  <c r="BF391" i="8"/>
  <c r="BF392" i="8"/>
  <c r="BF393" i="8"/>
  <c r="BF394" i="8"/>
  <c r="BF395" i="8"/>
  <c r="BF396" i="8"/>
  <c r="BF397" i="8"/>
  <c r="BF398" i="8"/>
  <c r="BF399" i="8"/>
  <c r="BF400" i="8"/>
  <c r="BF401" i="8"/>
  <c r="BF402" i="8"/>
  <c r="BF403" i="8"/>
  <c r="BF404" i="8"/>
  <c r="BF405" i="8"/>
  <c r="BF406" i="8"/>
  <c r="BF407" i="8"/>
  <c r="BF408" i="8"/>
  <c r="BF409" i="8"/>
  <c r="BF410" i="8"/>
  <c r="BF411" i="8"/>
  <c r="BF412" i="8"/>
  <c r="BF413" i="8"/>
  <c r="BF414" i="8"/>
  <c r="BF415" i="8"/>
  <c r="BF416" i="8"/>
  <c r="BF417" i="8"/>
  <c r="BF418" i="8"/>
  <c r="BF419" i="8"/>
  <c r="BF420" i="8"/>
  <c r="BF421" i="8"/>
  <c r="BF422" i="8"/>
  <c r="BF423" i="8"/>
  <c r="BF424" i="8"/>
  <c r="BF425" i="8"/>
  <c r="BF426" i="8"/>
  <c r="BF427" i="8"/>
  <c r="BF428" i="8"/>
  <c r="BF429" i="8"/>
  <c r="BF430" i="8"/>
  <c r="BF431" i="8"/>
  <c r="BF432" i="8"/>
  <c r="BF433" i="8"/>
  <c r="BF434" i="8"/>
  <c r="BF435" i="8"/>
  <c r="BF436" i="8"/>
  <c r="BF437" i="8"/>
  <c r="BF438" i="8"/>
  <c r="BF439" i="8"/>
  <c r="BF440" i="8"/>
  <c r="BF441" i="8"/>
  <c r="BF442" i="8"/>
  <c r="BF443" i="8"/>
  <c r="BF444" i="8"/>
  <c r="BF445" i="8"/>
  <c r="BF446" i="8"/>
  <c r="BF447" i="8"/>
  <c r="BF448" i="8"/>
  <c r="BF449" i="8"/>
  <c r="BF450" i="8"/>
  <c r="BF451" i="8"/>
  <c r="BF452" i="8"/>
  <c r="BF453" i="8"/>
  <c r="BF454" i="8"/>
  <c r="BF455" i="8"/>
  <c r="BF456" i="8"/>
  <c r="BF457" i="8"/>
  <c r="BF458" i="8"/>
  <c r="BF459" i="8"/>
  <c r="BF460" i="8"/>
  <c r="BF461" i="8"/>
  <c r="BF462" i="8"/>
  <c r="BF463" i="8"/>
  <c r="BF464" i="8"/>
  <c r="BF465" i="8"/>
  <c r="BF466" i="8"/>
  <c r="BF467" i="8"/>
  <c r="BF468" i="8"/>
  <c r="BF469" i="8"/>
  <c r="BF470" i="8"/>
  <c r="BF471" i="8"/>
  <c r="BF472" i="8"/>
  <c r="BF473" i="8"/>
  <c r="BF477" i="8"/>
  <c r="BF478" i="8"/>
  <c r="BF479" i="8"/>
  <c r="BF480" i="8"/>
  <c r="BF481" i="8"/>
  <c r="BF482" i="8"/>
  <c r="BF483" i="8"/>
  <c r="BF484" i="8"/>
  <c r="BF485" i="8"/>
  <c r="BF486" i="8"/>
  <c r="BF315" i="8"/>
  <c r="BF316" i="8"/>
  <c r="BF317" i="8"/>
  <c r="BF318" i="8"/>
  <c r="BF501" i="8"/>
  <c r="BF503" i="8"/>
  <c r="BE474" i="8"/>
  <c r="BE475" i="8"/>
  <c r="BE25" i="8"/>
  <c r="BE26" i="8"/>
  <c r="BE27" i="8"/>
  <c r="BE28" i="8"/>
  <c r="BE29" i="8"/>
  <c r="BE30" i="8"/>
  <c r="BE31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7" i="8"/>
  <c r="BE68" i="8"/>
  <c r="BE69" i="8"/>
  <c r="BE70" i="8"/>
  <c r="BE71" i="8"/>
  <c r="BE72" i="8"/>
  <c r="BE73" i="8"/>
  <c r="BE74" i="8"/>
  <c r="BE75" i="8"/>
  <c r="BE76" i="8"/>
  <c r="BE78" i="8"/>
  <c r="BE79" i="8"/>
  <c r="BE80" i="8"/>
  <c r="BE81" i="8"/>
  <c r="BE82" i="8"/>
  <c r="BE83" i="8"/>
  <c r="BE84" i="8"/>
  <c r="BE85" i="8"/>
  <c r="BE86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E100" i="8"/>
  <c r="BE101" i="8"/>
  <c r="BE102" i="8"/>
  <c r="BE103" i="8"/>
  <c r="BE104" i="8"/>
  <c r="BE105" i="8"/>
  <c r="BE106" i="8"/>
  <c r="BE107" i="8"/>
  <c r="BE108" i="8"/>
  <c r="BE109" i="8"/>
  <c r="BE110" i="8"/>
  <c r="BE111" i="8"/>
  <c r="BE112" i="8"/>
  <c r="BE113" i="8"/>
  <c r="BE114" i="8"/>
  <c r="BE115" i="8"/>
  <c r="BE117" i="8"/>
  <c r="BE118" i="8"/>
  <c r="BE119" i="8"/>
  <c r="BE120" i="8"/>
  <c r="BE121" i="8"/>
  <c r="BE122" i="8"/>
  <c r="BE123" i="8"/>
  <c r="BE124" i="8"/>
  <c r="BE125" i="8"/>
  <c r="BE127" i="8"/>
  <c r="BE128" i="8"/>
  <c r="BE129" i="8"/>
  <c r="BE130" i="8"/>
  <c r="BE131" i="8"/>
  <c r="BE132" i="8"/>
  <c r="BE133" i="8"/>
  <c r="BE134" i="8"/>
  <c r="BE135" i="8"/>
  <c r="BE136" i="8"/>
  <c r="BE137" i="8"/>
  <c r="BE138" i="8"/>
  <c r="BE139" i="8"/>
  <c r="BE140" i="8"/>
  <c r="BE141" i="8"/>
  <c r="BE142" i="8"/>
  <c r="BE143" i="8"/>
  <c r="BE144" i="8"/>
  <c r="BE145" i="8"/>
  <c r="BE146" i="8"/>
  <c r="BE147" i="8"/>
  <c r="BE148" i="8"/>
  <c r="BE149" i="8"/>
  <c r="BE150" i="8"/>
  <c r="BE151" i="8"/>
  <c r="BE152" i="8"/>
  <c r="BE153" i="8"/>
  <c r="BE154" i="8"/>
  <c r="BE155" i="8"/>
  <c r="BE156" i="8"/>
  <c r="BE157" i="8"/>
  <c r="BE158" i="8"/>
  <c r="BE159" i="8"/>
  <c r="BE164" i="8"/>
  <c r="BE165" i="8"/>
  <c r="BE166" i="8"/>
  <c r="BE167" i="8"/>
  <c r="BE168" i="8"/>
  <c r="BE169" i="8"/>
  <c r="BE170" i="8"/>
  <c r="BE171" i="8"/>
  <c r="BE172" i="8"/>
  <c r="BE173" i="8"/>
  <c r="BE174" i="8"/>
  <c r="BE175" i="8"/>
  <c r="BE176" i="8"/>
  <c r="BE177" i="8"/>
  <c r="BE178" i="8"/>
  <c r="BE179" i="8"/>
  <c r="BE180" i="8"/>
  <c r="BE181" i="8"/>
  <c r="BE182" i="8"/>
  <c r="BE183" i="8"/>
  <c r="BE184" i="8"/>
  <c r="BE185" i="8"/>
  <c r="BE186" i="8"/>
  <c r="BE187" i="8"/>
  <c r="BE188" i="8"/>
  <c r="BE189" i="8"/>
  <c r="BE190" i="8"/>
  <c r="BE191" i="8"/>
  <c r="BE192" i="8"/>
  <c r="BE193" i="8"/>
  <c r="BE194" i="8"/>
  <c r="BE196" i="8"/>
  <c r="BE197" i="8"/>
  <c r="BE198" i="8"/>
  <c r="BE199" i="8"/>
  <c r="BE200" i="8"/>
  <c r="BE201" i="8"/>
  <c r="BE202" i="8"/>
  <c r="BE203" i="8"/>
  <c r="BE204" i="8"/>
  <c r="BE205" i="8"/>
  <c r="BE206" i="8"/>
  <c r="BE207" i="8"/>
  <c r="BE208" i="8"/>
  <c r="BE209" i="8"/>
  <c r="BE210" i="8"/>
  <c r="BE211" i="8"/>
  <c r="BE212" i="8"/>
  <c r="BE213" i="8"/>
  <c r="BE214" i="8"/>
  <c r="BE216" i="8"/>
  <c r="BE217" i="8"/>
  <c r="BE218" i="8"/>
  <c r="BE219" i="8"/>
  <c r="BE220" i="8"/>
  <c r="BE221" i="8"/>
  <c r="BE222" i="8"/>
  <c r="BE224" i="8"/>
  <c r="BE225" i="8"/>
  <c r="BE226" i="8"/>
  <c r="BE227" i="8"/>
  <c r="BE228" i="8"/>
  <c r="BE229" i="8"/>
  <c r="BE230" i="8"/>
  <c r="BE231" i="8"/>
  <c r="BE232" i="8"/>
  <c r="BE233" i="8"/>
  <c r="BE234" i="8"/>
  <c r="BE235" i="8"/>
  <c r="BE236" i="8"/>
  <c r="BE237" i="8"/>
  <c r="BE238" i="8"/>
  <c r="BE239" i="8"/>
  <c r="BE242" i="8"/>
  <c r="BE243" i="8"/>
  <c r="BE244" i="8"/>
  <c r="BE245" i="8"/>
  <c r="BE246" i="8"/>
  <c r="BE247" i="8"/>
  <c r="BE248" i="8"/>
  <c r="BE249" i="8"/>
  <c r="BE250" i="8"/>
  <c r="BE251" i="8"/>
  <c r="BE252" i="8"/>
  <c r="BE253" i="8"/>
  <c r="BE254" i="8"/>
  <c r="BE255" i="8"/>
  <c r="BE256" i="8"/>
  <c r="BE257" i="8"/>
  <c r="BE258" i="8"/>
  <c r="BE259" i="8"/>
  <c r="BE260" i="8"/>
  <c r="BE261" i="8"/>
  <c r="BE262" i="8"/>
  <c r="BE263" i="8"/>
  <c r="BE264" i="8"/>
  <c r="BE265" i="8"/>
  <c r="BE266" i="8"/>
  <c r="BE268" i="8"/>
  <c r="BE269" i="8"/>
  <c r="BE270" i="8"/>
  <c r="BE271" i="8"/>
  <c r="BE272" i="8"/>
  <c r="BE273" i="8"/>
  <c r="BE274" i="8"/>
  <c r="BE275" i="8"/>
  <c r="BE276" i="8"/>
  <c r="BE277" i="8"/>
  <c r="BE278" i="8"/>
  <c r="BE279" i="8"/>
  <c r="BE280" i="8"/>
  <c r="BE281" i="8"/>
  <c r="BE282" i="8"/>
  <c r="BE283" i="8"/>
  <c r="BE284" i="8"/>
  <c r="BE285" i="8"/>
  <c r="BE286" i="8"/>
  <c r="BE287" i="8"/>
  <c r="BE288" i="8"/>
  <c r="BE289" i="8"/>
  <c r="BE290" i="8"/>
  <c r="BE291" i="8"/>
  <c r="BE292" i="8"/>
  <c r="BE293" i="8"/>
  <c r="BE294" i="8"/>
  <c r="BE295" i="8"/>
  <c r="BE296" i="8"/>
  <c r="BE297" i="8"/>
  <c r="BE298" i="8"/>
  <c r="BE299" i="8"/>
  <c r="BE300" i="8"/>
  <c r="BE301" i="8"/>
  <c r="BE302" i="8"/>
  <c r="BE303" i="8"/>
  <c r="BE304" i="8"/>
  <c r="BE305" i="8"/>
  <c r="BE306" i="8"/>
  <c r="BE307" i="8"/>
  <c r="BE308" i="8"/>
  <c r="BE309" i="8"/>
  <c r="BE310" i="8"/>
  <c r="BE311" i="8"/>
  <c r="BE312" i="8"/>
  <c r="BE313" i="8"/>
  <c r="BE314" i="8"/>
  <c r="BE320" i="8"/>
  <c r="BE476" i="8"/>
  <c r="BE322" i="8"/>
  <c r="BE323" i="8"/>
  <c r="BE324" i="8"/>
  <c r="BE325" i="8"/>
  <c r="BE326" i="8"/>
  <c r="BE327" i="8"/>
  <c r="BE328" i="8"/>
  <c r="BE329" i="8"/>
  <c r="BE330" i="8"/>
  <c r="BE331" i="8"/>
  <c r="BE332" i="8"/>
  <c r="BE333" i="8"/>
  <c r="BE334" i="8"/>
  <c r="BE335" i="8"/>
  <c r="BE336" i="8"/>
  <c r="BE337" i="8"/>
  <c r="BE338" i="8"/>
  <c r="BE339" i="8"/>
  <c r="BE340" i="8"/>
  <c r="BE341" i="8"/>
  <c r="BE342" i="8"/>
  <c r="BE343" i="8"/>
  <c r="BE344" i="8"/>
  <c r="BE345" i="8"/>
  <c r="BE346" i="8"/>
  <c r="BE347" i="8"/>
  <c r="BE348" i="8"/>
  <c r="BE349" i="8"/>
  <c r="BE350" i="8"/>
  <c r="BE351" i="8"/>
  <c r="BE352" i="8"/>
  <c r="BE353" i="8"/>
  <c r="BE354" i="8"/>
  <c r="BE355" i="8"/>
  <c r="BE356" i="8"/>
  <c r="BE357" i="8"/>
  <c r="BE358" i="8"/>
  <c r="BE359" i="8"/>
  <c r="BE360" i="8"/>
  <c r="BE361" i="8"/>
  <c r="BE362" i="8"/>
  <c r="BE363" i="8"/>
  <c r="BE364" i="8"/>
  <c r="BE365" i="8"/>
  <c r="BE366" i="8"/>
  <c r="BE367" i="8"/>
  <c r="BE368" i="8"/>
  <c r="BE369" i="8"/>
  <c r="BE370" i="8"/>
  <c r="BE371" i="8"/>
  <c r="BE372" i="8"/>
  <c r="BE373" i="8"/>
  <c r="BE374" i="8"/>
  <c r="BE375" i="8"/>
  <c r="BE376" i="8"/>
  <c r="BE377" i="8"/>
  <c r="BE378" i="8"/>
  <c r="BE391" i="8"/>
  <c r="BE392" i="8"/>
  <c r="BE393" i="8"/>
  <c r="BE394" i="8"/>
  <c r="BE395" i="8"/>
  <c r="BE396" i="8"/>
  <c r="BE397" i="8"/>
  <c r="BE398" i="8"/>
  <c r="BE399" i="8"/>
  <c r="BE400" i="8"/>
  <c r="BE401" i="8"/>
  <c r="BE402" i="8"/>
  <c r="BE403" i="8"/>
  <c r="BE404" i="8"/>
  <c r="BE405" i="8"/>
  <c r="BE406" i="8"/>
  <c r="BE407" i="8"/>
  <c r="BE408" i="8"/>
  <c r="BE409" i="8"/>
  <c r="BE410" i="8"/>
  <c r="BE411" i="8"/>
  <c r="BE412" i="8"/>
  <c r="BE413" i="8"/>
  <c r="BE414" i="8"/>
  <c r="BE415" i="8"/>
  <c r="BE416" i="8"/>
  <c r="BE418" i="8"/>
  <c r="BE419" i="8"/>
  <c r="BE420" i="8"/>
  <c r="BE421" i="8"/>
  <c r="BE422" i="8"/>
  <c r="BE423" i="8"/>
  <c r="BE424" i="8"/>
  <c r="BE425" i="8"/>
  <c r="BE426" i="8"/>
  <c r="BE427" i="8"/>
  <c r="BE428" i="8"/>
  <c r="BE429" i="8"/>
  <c r="BE430" i="8"/>
  <c r="BE431" i="8"/>
  <c r="BE432" i="8"/>
  <c r="BE433" i="8"/>
  <c r="BE435" i="8"/>
  <c r="BE436" i="8"/>
  <c r="BE437" i="8"/>
  <c r="BE438" i="8"/>
  <c r="BE439" i="8"/>
  <c r="BE440" i="8"/>
  <c r="BE441" i="8"/>
  <c r="BE442" i="8"/>
  <c r="BE443" i="8"/>
  <c r="BE444" i="8"/>
  <c r="BE446" i="8"/>
  <c r="BE447" i="8"/>
  <c r="BE448" i="8"/>
  <c r="BE449" i="8"/>
  <c r="BE450" i="8"/>
  <c r="BE451" i="8"/>
  <c r="BE452" i="8"/>
  <c r="BE454" i="8"/>
  <c r="BE455" i="8"/>
  <c r="BE456" i="8"/>
  <c r="BE457" i="8"/>
  <c r="BE458" i="8"/>
  <c r="BE459" i="8"/>
  <c r="BE460" i="8"/>
  <c r="BE461" i="8"/>
  <c r="BE462" i="8"/>
  <c r="BE463" i="8"/>
  <c r="BE464" i="8"/>
  <c r="BE465" i="8"/>
  <c r="BE466" i="8"/>
  <c r="BE467" i="8"/>
  <c r="BE468" i="8"/>
  <c r="BE469" i="8"/>
  <c r="BE470" i="8"/>
  <c r="BE471" i="8"/>
  <c r="BE472" i="8"/>
  <c r="BE473" i="8"/>
  <c r="BE477" i="8"/>
  <c r="BE478" i="8"/>
  <c r="BE479" i="8"/>
  <c r="BE480" i="8"/>
  <c r="BE481" i="8"/>
  <c r="BE482" i="8"/>
  <c r="BE483" i="8"/>
  <c r="BE484" i="8"/>
  <c r="BE485" i="8"/>
  <c r="BE486" i="8"/>
  <c r="BE315" i="8"/>
  <c r="BE316" i="8"/>
  <c r="BE317" i="8"/>
  <c r="BE318" i="8"/>
  <c r="BE501" i="8"/>
  <c r="BE503" i="8"/>
  <c r="BD474" i="8"/>
  <c r="BD475" i="8"/>
  <c r="BD315" i="8"/>
  <c r="BD316" i="8"/>
  <c r="BD317" i="8"/>
  <c r="BD318" i="8"/>
  <c r="BD501" i="8"/>
  <c r="BD503" i="8"/>
  <c r="BD485" i="8"/>
  <c r="BD486" i="8"/>
  <c r="BD415" i="8"/>
  <c r="BD416" i="8"/>
  <c r="BD417" i="8"/>
  <c r="BD418" i="8"/>
  <c r="BD419" i="8"/>
  <c r="BD420" i="8"/>
  <c r="BD421" i="8"/>
  <c r="BD422" i="8"/>
  <c r="BD423" i="8"/>
  <c r="BD424" i="8"/>
  <c r="BD425" i="8"/>
  <c r="BD426" i="8"/>
  <c r="BD427" i="8"/>
  <c r="BD428" i="8"/>
  <c r="BD429" i="8"/>
  <c r="BD430" i="8"/>
  <c r="BD431" i="8"/>
  <c r="BD432" i="8"/>
  <c r="BD434" i="8"/>
  <c r="BD435" i="8"/>
  <c r="BD436" i="8"/>
  <c r="BD437" i="8"/>
  <c r="BD438" i="8"/>
  <c r="BD439" i="8"/>
  <c r="BD440" i="8"/>
  <c r="BD441" i="8"/>
  <c r="BD442" i="8"/>
  <c r="BD443" i="8"/>
  <c r="BD444" i="8"/>
  <c r="BD445" i="8"/>
  <c r="BD446" i="8"/>
  <c r="BD447" i="8"/>
  <c r="BD448" i="8"/>
  <c r="BD449" i="8"/>
  <c r="BD450" i="8"/>
  <c r="BD451" i="8"/>
  <c r="BD452" i="8"/>
  <c r="BD453" i="8"/>
  <c r="BD454" i="8"/>
  <c r="BD455" i="8"/>
  <c r="BD456" i="8"/>
  <c r="BD457" i="8"/>
  <c r="BD458" i="8"/>
  <c r="BD459" i="8"/>
  <c r="BD460" i="8"/>
  <c r="BD461" i="8"/>
  <c r="BD462" i="8"/>
  <c r="BD463" i="8"/>
  <c r="BD464" i="8"/>
  <c r="BD465" i="8"/>
  <c r="BD466" i="8"/>
  <c r="BD467" i="8"/>
  <c r="BD468" i="8"/>
  <c r="BD469" i="8"/>
  <c r="BD470" i="8"/>
  <c r="BD471" i="8"/>
  <c r="BD472" i="8"/>
  <c r="BD473" i="8"/>
  <c r="BD477" i="8"/>
  <c r="BD478" i="8"/>
  <c r="BD479" i="8"/>
  <c r="BD480" i="8"/>
  <c r="BD481" i="8"/>
  <c r="BD482" i="8"/>
  <c r="BD483" i="8"/>
  <c r="BD484" i="8"/>
  <c r="BD41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D84" i="8"/>
  <c r="BD85" i="8"/>
  <c r="BD86" i="8"/>
  <c r="BD87" i="8"/>
  <c r="BD88" i="8"/>
  <c r="BD89" i="8"/>
  <c r="BD90" i="8"/>
  <c r="BD91" i="8"/>
  <c r="BD92" i="8"/>
  <c r="BD93" i="8"/>
  <c r="BD94" i="8"/>
  <c r="BD95" i="8"/>
  <c r="BD96" i="8"/>
  <c r="BD97" i="8"/>
  <c r="BD98" i="8"/>
  <c r="BD99" i="8"/>
  <c r="BD100" i="8"/>
  <c r="BD101" i="8"/>
  <c r="BD102" i="8"/>
  <c r="BD103" i="8"/>
  <c r="BD104" i="8"/>
  <c r="BD105" i="8"/>
  <c r="BD106" i="8"/>
  <c r="BD107" i="8"/>
  <c r="BD108" i="8"/>
  <c r="BD109" i="8"/>
  <c r="BD110" i="8"/>
  <c r="BD111" i="8"/>
  <c r="BD112" i="8"/>
  <c r="BD113" i="8"/>
  <c r="BD114" i="8"/>
  <c r="BD115" i="8"/>
  <c r="BD116" i="8"/>
  <c r="BD117" i="8"/>
  <c r="BD118" i="8"/>
  <c r="BD119" i="8"/>
  <c r="BD120" i="8"/>
  <c r="BD121" i="8"/>
  <c r="BD122" i="8"/>
  <c r="BD123" i="8"/>
  <c r="BD124" i="8"/>
  <c r="BD125" i="8"/>
  <c r="BD126" i="8"/>
  <c r="BD127" i="8"/>
  <c r="BD128" i="8"/>
  <c r="BD129" i="8"/>
  <c r="BD130" i="8"/>
  <c r="BD131" i="8"/>
  <c r="BD132" i="8"/>
  <c r="BD133" i="8"/>
  <c r="BD134" i="8"/>
  <c r="BD135" i="8"/>
  <c r="BD136" i="8"/>
  <c r="BD137" i="8"/>
  <c r="BD138" i="8"/>
  <c r="BD139" i="8"/>
  <c r="BD140" i="8"/>
  <c r="BD141" i="8"/>
  <c r="BD142" i="8"/>
  <c r="BD143" i="8"/>
  <c r="BD144" i="8"/>
  <c r="BD145" i="8"/>
  <c r="BD146" i="8"/>
  <c r="BD147" i="8"/>
  <c r="BD148" i="8"/>
  <c r="BD149" i="8"/>
  <c r="BD150" i="8"/>
  <c r="BD151" i="8"/>
  <c r="BD152" i="8"/>
  <c r="BD153" i="8"/>
  <c r="BD154" i="8"/>
  <c r="BD155" i="8"/>
  <c r="BD156" i="8"/>
  <c r="BD157" i="8"/>
  <c r="BD158" i="8"/>
  <c r="BD159" i="8"/>
  <c r="BD160" i="8"/>
  <c r="BD161" i="8"/>
  <c r="BD162" i="8"/>
  <c r="BD163" i="8"/>
  <c r="BD164" i="8"/>
  <c r="BD165" i="8"/>
  <c r="BD166" i="8"/>
  <c r="BD167" i="8"/>
  <c r="BD168" i="8"/>
  <c r="BD169" i="8"/>
  <c r="BD170" i="8"/>
  <c r="BD171" i="8"/>
  <c r="BD172" i="8"/>
  <c r="BD173" i="8"/>
  <c r="BD174" i="8"/>
  <c r="BD175" i="8"/>
  <c r="BD176" i="8"/>
  <c r="BD177" i="8"/>
  <c r="BD178" i="8"/>
  <c r="BD179" i="8"/>
  <c r="BD180" i="8"/>
  <c r="BD181" i="8"/>
  <c r="BD182" i="8"/>
  <c r="BD183" i="8"/>
  <c r="BD184" i="8"/>
  <c r="BD185" i="8"/>
  <c r="BD186" i="8"/>
  <c r="BD187" i="8"/>
  <c r="BD188" i="8"/>
  <c r="BD189" i="8"/>
  <c r="BD190" i="8"/>
  <c r="BD191" i="8"/>
  <c r="BD192" i="8"/>
  <c r="BD193" i="8"/>
  <c r="BD194" i="8"/>
  <c r="BD195" i="8"/>
  <c r="BD196" i="8"/>
  <c r="BD197" i="8"/>
  <c r="BD198" i="8"/>
  <c r="BD199" i="8"/>
  <c r="BD200" i="8"/>
  <c r="BD201" i="8"/>
  <c r="BD202" i="8"/>
  <c r="BD203" i="8"/>
  <c r="BD204" i="8"/>
  <c r="BD205" i="8"/>
  <c r="BD206" i="8"/>
  <c r="BD207" i="8"/>
  <c r="BD208" i="8"/>
  <c r="BD209" i="8"/>
  <c r="BD210" i="8"/>
  <c r="BD211" i="8"/>
  <c r="BD212" i="8"/>
  <c r="BD213" i="8"/>
  <c r="BD214" i="8"/>
  <c r="BD215" i="8"/>
  <c r="BD216" i="8"/>
  <c r="BD217" i="8"/>
  <c r="BD218" i="8"/>
  <c r="BD219" i="8"/>
  <c r="BD220" i="8"/>
  <c r="BD221" i="8"/>
  <c r="BD222" i="8"/>
  <c r="BD223" i="8"/>
  <c r="BD224" i="8"/>
  <c r="BD225" i="8"/>
  <c r="BD226" i="8"/>
  <c r="BD227" i="8"/>
  <c r="BD228" i="8"/>
  <c r="BD229" i="8"/>
  <c r="BD230" i="8"/>
  <c r="BD231" i="8"/>
  <c r="BD232" i="8"/>
  <c r="BD233" i="8"/>
  <c r="BD234" i="8"/>
  <c r="BD235" i="8"/>
  <c r="BD236" i="8"/>
  <c r="BD237" i="8"/>
  <c r="BD238" i="8"/>
  <c r="BD239" i="8"/>
  <c r="BD240" i="8"/>
  <c r="BD241" i="8"/>
  <c r="BD242" i="8"/>
  <c r="BD243" i="8"/>
  <c r="BD244" i="8"/>
  <c r="BD245" i="8"/>
  <c r="BD246" i="8"/>
  <c r="BD247" i="8"/>
  <c r="BD248" i="8"/>
  <c r="BD249" i="8"/>
  <c r="BD250" i="8"/>
  <c r="BD251" i="8"/>
  <c r="BD252" i="8"/>
  <c r="BD253" i="8"/>
  <c r="BD254" i="8"/>
  <c r="BD255" i="8"/>
  <c r="BD256" i="8"/>
  <c r="BD257" i="8"/>
  <c r="BD258" i="8"/>
  <c r="BD259" i="8"/>
  <c r="BD260" i="8"/>
  <c r="BD261" i="8"/>
  <c r="BD262" i="8"/>
  <c r="BD263" i="8"/>
  <c r="BD264" i="8"/>
  <c r="BD265" i="8"/>
  <c r="BD266" i="8"/>
  <c r="BD268" i="8"/>
  <c r="BD269" i="8"/>
  <c r="BD270" i="8"/>
  <c r="BD271" i="8"/>
  <c r="BD272" i="8"/>
  <c r="BD273" i="8"/>
  <c r="BD274" i="8"/>
  <c r="BD275" i="8"/>
  <c r="BD276" i="8"/>
  <c r="BD277" i="8"/>
  <c r="BD278" i="8"/>
  <c r="BD279" i="8"/>
  <c r="BD280" i="8"/>
  <c r="BD281" i="8"/>
  <c r="BD282" i="8"/>
  <c r="BD283" i="8"/>
  <c r="BD284" i="8"/>
  <c r="BD285" i="8"/>
  <c r="BD286" i="8"/>
  <c r="BD287" i="8"/>
  <c r="BD288" i="8"/>
  <c r="BD289" i="8"/>
  <c r="BD290" i="8"/>
  <c r="BD291" i="8"/>
  <c r="BD292" i="8"/>
  <c r="BD293" i="8"/>
  <c r="BD294" i="8"/>
  <c r="BD295" i="8"/>
  <c r="BD296" i="8"/>
  <c r="BD297" i="8"/>
  <c r="BD298" i="8"/>
  <c r="BD299" i="8"/>
  <c r="BD300" i="8"/>
  <c r="BD301" i="8"/>
  <c r="BD302" i="8"/>
  <c r="BD303" i="8"/>
  <c r="BD304" i="8"/>
  <c r="BD305" i="8"/>
  <c r="BD306" i="8"/>
  <c r="BD307" i="8"/>
  <c r="BD308" i="8"/>
  <c r="BD309" i="8"/>
  <c r="BD310" i="8"/>
  <c r="BD311" i="8"/>
  <c r="BD312" i="8"/>
  <c r="BD313" i="8"/>
  <c r="BD314" i="8"/>
  <c r="BD320" i="8"/>
  <c r="BD476" i="8"/>
  <c r="BD322" i="8"/>
  <c r="BD323" i="8"/>
  <c r="BD324" i="8"/>
  <c r="BD325" i="8"/>
  <c r="BD326" i="8"/>
  <c r="BD327" i="8"/>
  <c r="BD328" i="8"/>
  <c r="BD329" i="8"/>
  <c r="BD330" i="8"/>
  <c r="BD331" i="8"/>
  <c r="BD332" i="8"/>
  <c r="BD333" i="8"/>
  <c r="BD334" i="8"/>
  <c r="BD335" i="8"/>
  <c r="BD336" i="8"/>
  <c r="BD337" i="8"/>
  <c r="BD338" i="8"/>
  <c r="BD339" i="8"/>
  <c r="BD340" i="8"/>
  <c r="BD341" i="8"/>
  <c r="BD342" i="8"/>
  <c r="BD343" i="8"/>
  <c r="BD344" i="8"/>
  <c r="BD345" i="8"/>
  <c r="BD346" i="8"/>
  <c r="BD347" i="8"/>
  <c r="BD348" i="8"/>
  <c r="BD349" i="8"/>
  <c r="BD350" i="8"/>
  <c r="BD351" i="8"/>
  <c r="BD352" i="8"/>
  <c r="BD353" i="8"/>
  <c r="BD354" i="8"/>
  <c r="BD355" i="8"/>
  <c r="BD356" i="8"/>
  <c r="BD357" i="8"/>
  <c r="BD358" i="8"/>
  <c r="BD359" i="8"/>
  <c r="BD360" i="8"/>
  <c r="BD361" i="8"/>
  <c r="BD362" i="8"/>
  <c r="BD363" i="8"/>
  <c r="BD364" i="8"/>
  <c r="BD365" i="8"/>
  <c r="BD366" i="8"/>
  <c r="BD367" i="8"/>
  <c r="BD368" i="8"/>
  <c r="BD369" i="8"/>
  <c r="BD370" i="8"/>
  <c r="BD371" i="8"/>
  <c r="BD372" i="8"/>
  <c r="BD373" i="8"/>
  <c r="BD374" i="8"/>
  <c r="BD375" i="8"/>
  <c r="BD376" i="8"/>
  <c r="BD377" i="8"/>
  <c r="BD378" i="8"/>
  <c r="BD391" i="8"/>
  <c r="BD392" i="8"/>
  <c r="BD393" i="8"/>
  <c r="BD394" i="8"/>
  <c r="BD395" i="8"/>
  <c r="BD396" i="8"/>
  <c r="BD397" i="8"/>
  <c r="BD398" i="8"/>
  <c r="BD399" i="8"/>
  <c r="BD400" i="8"/>
  <c r="BD401" i="8"/>
  <c r="BD402" i="8"/>
  <c r="BD403" i="8"/>
  <c r="BD404" i="8"/>
  <c r="BD405" i="8"/>
  <c r="BD406" i="8"/>
  <c r="BD407" i="8"/>
  <c r="BD408" i="8"/>
  <c r="BD409" i="8"/>
  <c r="BD410" i="8"/>
  <c r="BD411" i="8"/>
  <c r="BD412" i="8"/>
  <c r="BD413" i="8"/>
  <c r="BC315" i="8"/>
  <c r="BC316" i="8"/>
  <c r="BC317" i="8"/>
  <c r="BC318" i="8"/>
  <c r="BC501" i="8"/>
  <c r="BC503" i="8"/>
  <c r="BC474" i="8"/>
  <c r="BC475" i="8"/>
  <c r="BC485" i="8"/>
  <c r="BC486" i="8"/>
  <c r="BC415" i="8"/>
  <c r="BC416" i="8"/>
  <c r="BC417" i="8"/>
  <c r="BC418" i="8"/>
  <c r="BC419" i="8"/>
  <c r="BC420" i="8"/>
  <c r="BC421" i="8"/>
  <c r="BC422" i="8"/>
  <c r="BC423" i="8"/>
  <c r="BC424" i="8"/>
  <c r="BC425" i="8"/>
  <c r="BC426" i="8"/>
  <c r="BC427" i="8"/>
  <c r="BC428" i="8"/>
  <c r="BC429" i="8"/>
  <c r="BC430" i="8"/>
  <c r="BC431" i="8"/>
  <c r="BC432" i="8"/>
  <c r="BC433" i="8"/>
  <c r="BC434" i="8"/>
  <c r="BC435" i="8"/>
  <c r="BC436" i="8"/>
  <c r="BC437" i="8"/>
  <c r="BC438" i="8"/>
  <c r="BC439" i="8"/>
  <c r="BC440" i="8"/>
  <c r="BC441" i="8"/>
  <c r="BC442" i="8"/>
  <c r="BC443" i="8"/>
  <c r="BC444" i="8"/>
  <c r="BC445" i="8"/>
  <c r="BC446" i="8"/>
  <c r="BC447" i="8"/>
  <c r="BC448" i="8"/>
  <c r="BC449" i="8"/>
  <c r="BC450" i="8"/>
  <c r="BC451" i="8"/>
  <c r="BC452" i="8"/>
  <c r="BC453" i="8"/>
  <c r="BC454" i="8"/>
  <c r="BC455" i="8"/>
  <c r="BC456" i="8"/>
  <c r="BC457" i="8"/>
  <c r="BC458" i="8"/>
  <c r="BC459" i="8"/>
  <c r="BC460" i="8"/>
  <c r="BC461" i="8"/>
  <c r="BC462" i="8"/>
  <c r="BC463" i="8"/>
  <c r="BC464" i="8"/>
  <c r="BC465" i="8"/>
  <c r="BC466" i="8"/>
  <c r="BC467" i="8"/>
  <c r="BC468" i="8"/>
  <c r="BC469" i="8"/>
  <c r="BC470" i="8"/>
  <c r="BC471" i="8"/>
  <c r="BC472" i="8"/>
  <c r="BC473" i="8"/>
  <c r="BC477" i="8"/>
  <c r="BC478" i="8"/>
  <c r="BC479" i="8"/>
  <c r="BC480" i="8"/>
  <c r="BC481" i="8"/>
  <c r="BC482" i="8"/>
  <c r="BC483" i="8"/>
  <c r="BC484" i="8"/>
  <c r="BC41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C142" i="8"/>
  <c r="BC143" i="8"/>
  <c r="BC144" i="8"/>
  <c r="BC145" i="8"/>
  <c r="BC146" i="8"/>
  <c r="BC147" i="8"/>
  <c r="BC148" i="8"/>
  <c r="BC149" i="8"/>
  <c r="BC150" i="8"/>
  <c r="BC151" i="8"/>
  <c r="BC152" i="8"/>
  <c r="BC153" i="8"/>
  <c r="BC154" i="8"/>
  <c r="BC155" i="8"/>
  <c r="BC156" i="8"/>
  <c r="BC157" i="8"/>
  <c r="BC158" i="8"/>
  <c r="BC159" i="8"/>
  <c r="BC160" i="8"/>
  <c r="BC161" i="8"/>
  <c r="BC162" i="8"/>
  <c r="BC163" i="8"/>
  <c r="BC164" i="8"/>
  <c r="BC165" i="8"/>
  <c r="BC166" i="8"/>
  <c r="BC167" i="8"/>
  <c r="BC168" i="8"/>
  <c r="BC169" i="8"/>
  <c r="BC170" i="8"/>
  <c r="BC171" i="8"/>
  <c r="BC172" i="8"/>
  <c r="BC173" i="8"/>
  <c r="BC174" i="8"/>
  <c r="BC175" i="8"/>
  <c r="BC176" i="8"/>
  <c r="BC177" i="8"/>
  <c r="BC178" i="8"/>
  <c r="BC179" i="8"/>
  <c r="BC180" i="8"/>
  <c r="BC181" i="8"/>
  <c r="BC182" i="8"/>
  <c r="BC183" i="8"/>
  <c r="BC184" i="8"/>
  <c r="BC185" i="8"/>
  <c r="BC186" i="8"/>
  <c r="BC187" i="8"/>
  <c r="BC188" i="8"/>
  <c r="BC189" i="8"/>
  <c r="BC190" i="8"/>
  <c r="BC191" i="8"/>
  <c r="BC192" i="8"/>
  <c r="BC193" i="8"/>
  <c r="BC194" i="8"/>
  <c r="BC195" i="8"/>
  <c r="BC196" i="8"/>
  <c r="BC197" i="8"/>
  <c r="BC198" i="8"/>
  <c r="BC199" i="8"/>
  <c r="BC200" i="8"/>
  <c r="BC201" i="8"/>
  <c r="BC202" i="8"/>
  <c r="BC203" i="8"/>
  <c r="BC204" i="8"/>
  <c r="BC205" i="8"/>
  <c r="BC206" i="8"/>
  <c r="BC207" i="8"/>
  <c r="BC208" i="8"/>
  <c r="BC209" i="8"/>
  <c r="BC210" i="8"/>
  <c r="BC211" i="8"/>
  <c r="BC212" i="8"/>
  <c r="BC213" i="8"/>
  <c r="BC214" i="8"/>
  <c r="BC215" i="8"/>
  <c r="BC216" i="8"/>
  <c r="BC217" i="8"/>
  <c r="BC218" i="8"/>
  <c r="BC219" i="8"/>
  <c r="BC220" i="8"/>
  <c r="BC221" i="8"/>
  <c r="BC222" i="8"/>
  <c r="BC223" i="8"/>
  <c r="BC224" i="8"/>
  <c r="BC225" i="8"/>
  <c r="BC226" i="8"/>
  <c r="BC227" i="8"/>
  <c r="BC228" i="8"/>
  <c r="BC229" i="8"/>
  <c r="BC230" i="8"/>
  <c r="BC231" i="8"/>
  <c r="BC232" i="8"/>
  <c r="BC233" i="8"/>
  <c r="BC234" i="8"/>
  <c r="BC235" i="8"/>
  <c r="BC236" i="8"/>
  <c r="BC237" i="8"/>
  <c r="BC238" i="8"/>
  <c r="BC239" i="8"/>
  <c r="BC240" i="8"/>
  <c r="BC241" i="8"/>
  <c r="BC242" i="8"/>
  <c r="BC243" i="8"/>
  <c r="BC244" i="8"/>
  <c r="BC245" i="8"/>
  <c r="BC246" i="8"/>
  <c r="BC247" i="8"/>
  <c r="BC248" i="8"/>
  <c r="BC249" i="8"/>
  <c r="BC250" i="8"/>
  <c r="BC251" i="8"/>
  <c r="BC252" i="8"/>
  <c r="BC253" i="8"/>
  <c r="BC254" i="8"/>
  <c r="BC255" i="8"/>
  <c r="BC256" i="8"/>
  <c r="BC257" i="8"/>
  <c r="BC258" i="8"/>
  <c r="BC259" i="8"/>
  <c r="BC260" i="8"/>
  <c r="BC261" i="8"/>
  <c r="BC262" i="8"/>
  <c r="BC263" i="8"/>
  <c r="BC264" i="8"/>
  <c r="BC265" i="8"/>
  <c r="BC266" i="8"/>
  <c r="BC268" i="8"/>
  <c r="BC269" i="8"/>
  <c r="BC270" i="8"/>
  <c r="BC271" i="8"/>
  <c r="BC272" i="8"/>
  <c r="BC273" i="8"/>
  <c r="BC274" i="8"/>
  <c r="BC275" i="8"/>
  <c r="BC276" i="8"/>
  <c r="BC277" i="8"/>
  <c r="BC278" i="8"/>
  <c r="BC279" i="8"/>
  <c r="BC280" i="8"/>
  <c r="BC281" i="8"/>
  <c r="BC282" i="8"/>
  <c r="BC283" i="8"/>
  <c r="BC284" i="8"/>
  <c r="BC285" i="8"/>
  <c r="BC286" i="8"/>
  <c r="BC287" i="8"/>
  <c r="BC288" i="8"/>
  <c r="BC289" i="8"/>
  <c r="BC290" i="8"/>
  <c r="BC291" i="8"/>
  <c r="BC292" i="8"/>
  <c r="BC293" i="8"/>
  <c r="BC294" i="8"/>
  <c r="BC295" i="8"/>
  <c r="BC296" i="8"/>
  <c r="BC297" i="8"/>
  <c r="BC298" i="8"/>
  <c r="BC299" i="8"/>
  <c r="BC300" i="8"/>
  <c r="BC301" i="8"/>
  <c r="BC302" i="8"/>
  <c r="BC303" i="8"/>
  <c r="BC304" i="8"/>
  <c r="BC305" i="8"/>
  <c r="BC306" i="8"/>
  <c r="BC307" i="8"/>
  <c r="BC308" i="8"/>
  <c r="BC309" i="8"/>
  <c r="BC310" i="8"/>
  <c r="BC311" i="8"/>
  <c r="BC312" i="8"/>
  <c r="BC313" i="8"/>
  <c r="BC314" i="8"/>
  <c r="BC320" i="8"/>
  <c r="BC476" i="8"/>
  <c r="BC322" i="8"/>
  <c r="BC323" i="8"/>
  <c r="BC324" i="8"/>
  <c r="BC325" i="8"/>
  <c r="BC326" i="8"/>
  <c r="BC327" i="8"/>
  <c r="BC328" i="8"/>
  <c r="BC329" i="8"/>
  <c r="BC330" i="8"/>
  <c r="BC331" i="8"/>
  <c r="BC332" i="8"/>
  <c r="BC333" i="8"/>
  <c r="BC334" i="8"/>
  <c r="BC335" i="8"/>
  <c r="BC336" i="8"/>
  <c r="BC337" i="8"/>
  <c r="BC338" i="8"/>
  <c r="BC339" i="8"/>
  <c r="BC340" i="8"/>
  <c r="BC341" i="8"/>
  <c r="BC342" i="8"/>
  <c r="BC343" i="8"/>
  <c r="BC344" i="8"/>
  <c r="BC345" i="8"/>
  <c r="BC346" i="8"/>
  <c r="BC347" i="8"/>
  <c r="BC348" i="8"/>
  <c r="BC349" i="8"/>
  <c r="BC350" i="8"/>
  <c r="BC351" i="8"/>
  <c r="BC352" i="8"/>
  <c r="BC353" i="8"/>
  <c r="BC354" i="8"/>
  <c r="BC355" i="8"/>
  <c r="BC356" i="8"/>
  <c r="BC357" i="8"/>
  <c r="BC358" i="8"/>
  <c r="BC359" i="8"/>
  <c r="BC360" i="8"/>
  <c r="BC361" i="8"/>
  <c r="BC362" i="8"/>
  <c r="BC363" i="8"/>
  <c r="BC364" i="8"/>
  <c r="BC365" i="8"/>
  <c r="BC366" i="8"/>
  <c r="BC367" i="8"/>
  <c r="BC368" i="8"/>
  <c r="BC369" i="8"/>
  <c r="BC370" i="8"/>
  <c r="BC371" i="8"/>
  <c r="BC372" i="8"/>
  <c r="BC373" i="8"/>
  <c r="BC374" i="8"/>
  <c r="BC375" i="8"/>
  <c r="BC376" i="8"/>
  <c r="BC377" i="8"/>
  <c r="BC378" i="8"/>
  <c r="BC391" i="8"/>
  <c r="BC392" i="8"/>
  <c r="BC393" i="8"/>
  <c r="BC394" i="8"/>
  <c r="BC395" i="8"/>
  <c r="BC396" i="8"/>
  <c r="BC397" i="8"/>
  <c r="BC398" i="8"/>
  <c r="BC399" i="8"/>
  <c r="BC400" i="8"/>
  <c r="BC401" i="8"/>
  <c r="BC402" i="8"/>
  <c r="BC403" i="8"/>
  <c r="BC404" i="8"/>
  <c r="BC405" i="8"/>
  <c r="BC406" i="8"/>
  <c r="BC407" i="8"/>
  <c r="BC408" i="8"/>
  <c r="BC409" i="8"/>
  <c r="BC410" i="8"/>
  <c r="BC411" i="8"/>
  <c r="BC412" i="8"/>
  <c r="BC413" i="8"/>
  <c r="BB474" i="8"/>
  <c r="BB475" i="8"/>
  <c r="BB315" i="8"/>
  <c r="BB316" i="8"/>
  <c r="BB317" i="8"/>
  <c r="BB318" i="8"/>
  <c r="BB501" i="8"/>
  <c r="BB503" i="8"/>
  <c r="BB485" i="8"/>
  <c r="BB486" i="8"/>
  <c r="BB415" i="8"/>
  <c r="BB416" i="8"/>
  <c r="BB417" i="8"/>
  <c r="BB418" i="8"/>
  <c r="BB419" i="8"/>
  <c r="BB420" i="8"/>
  <c r="BB421" i="8"/>
  <c r="BB422" i="8"/>
  <c r="BB423" i="8"/>
  <c r="BB424" i="8"/>
  <c r="BB425" i="8"/>
  <c r="BB426" i="8"/>
  <c r="BB427" i="8"/>
  <c r="BB428" i="8"/>
  <c r="BB429" i="8"/>
  <c r="BB430" i="8"/>
  <c r="BB431" i="8"/>
  <c r="BB432" i="8"/>
  <c r="BB433" i="8"/>
  <c r="BB434" i="8"/>
  <c r="BB435" i="8"/>
  <c r="BB436" i="8"/>
  <c r="BB437" i="8"/>
  <c r="BB438" i="8"/>
  <c r="BB439" i="8"/>
  <c r="BB440" i="8"/>
  <c r="BB441" i="8"/>
  <c r="BB442" i="8"/>
  <c r="BB443" i="8"/>
  <c r="BB444" i="8"/>
  <c r="BB445" i="8"/>
  <c r="BB446" i="8"/>
  <c r="BB447" i="8"/>
  <c r="BB448" i="8"/>
  <c r="BB449" i="8"/>
  <c r="BB450" i="8"/>
  <c r="BB451" i="8"/>
  <c r="BB452" i="8"/>
  <c r="BB453" i="8"/>
  <c r="BB454" i="8"/>
  <c r="BB455" i="8"/>
  <c r="BB456" i="8"/>
  <c r="BB457" i="8"/>
  <c r="BB458" i="8"/>
  <c r="BB459" i="8"/>
  <c r="BB460" i="8"/>
  <c r="BB461" i="8"/>
  <c r="BB462" i="8"/>
  <c r="BB463" i="8"/>
  <c r="BB464" i="8"/>
  <c r="BB465" i="8"/>
  <c r="BB466" i="8"/>
  <c r="BB467" i="8"/>
  <c r="BB468" i="8"/>
  <c r="BB469" i="8"/>
  <c r="BB470" i="8"/>
  <c r="BB472" i="8"/>
  <c r="BB473" i="8"/>
  <c r="BB477" i="8"/>
  <c r="BB478" i="8"/>
  <c r="BB479" i="8"/>
  <c r="BB480" i="8"/>
  <c r="BB481" i="8"/>
  <c r="BB482" i="8"/>
  <c r="BB483" i="8"/>
  <c r="BB484" i="8"/>
  <c r="BB414" i="8"/>
  <c r="BB25" i="8"/>
  <c r="BB26" i="8"/>
  <c r="BB27" i="8"/>
  <c r="BB28" i="8"/>
  <c r="BB29" i="8"/>
  <c r="BB30" i="8"/>
  <c r="BB31" i="8"/>
  <c r="BB32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B63" i="8"/>
  <c r="BB64" i="8"/>
  <c r="BB65" i="8"/>
  <c r="BB66" i="8"/>
  <c r="BB67" i="8"/>
  <c r="BB68" i="8"/>
  <c r="BB69" i="8"/>
  <c r="BB70" i="8"/>
  <c r="BB71" i="8"/>
  <c r="BB72" i="8"/>
  <c r="BB73" i="8"/>
  <c r="BB74" i="8"/>
  <c r="BB75" i="8"/>
  <c r="BB76" i="8"/>
  <c r="BB77" i="8"/>
  <c r="BB78" i="8"/>
  <c r="BB79" i="8"/>
  <c r="BB80" i="8"/>
  <c r="BB81" i="8"/>
  <c r="BB82" i="8"/>
  <c r="BB83" i="8"/>
  <c r="BB84" i="8"/>
  <c r="BB85" i="8"/>
  <c r="BB86" i="8"/>
  <c r="BB87" i="8"/>
  <c r="BB88" i="8"/>
  <c r="BB89" i="8"/>
  <c r="BB90" i="8"/>
  <c r="BB91" i="8"/>
  <c r="BB92" i="8"/>
  <c r="BB93" i="8"/>
  <c r="BB94" i="8"/>
  <c r="BB95" i="8"/>
  <c r="BB96" i="8"/>
  <c r="BB97" i="8"/>
  <c r="BB98" i="8"/>
  <c r="BB99" i="8"/>
  <c r="BB100" i="8"/>
  <c r="BB101" i="8"/>
  <c r="BB102" i="8"/>
  <c r="BB103" i="8"/>
  <c r="BB104" i="8"/>
  <c r="BB105" i="8"/>
  <c r="BB106" i="8"/>
  <c r="BB107" i="8"/>
  <c r="BB108" i="8"/>
  <c r="BB109" i="8"/>
  <c r="BB110" i="8"/>
  <c r="BB111" i="8"/>
  <c r="BB112" i="8"/>
  <c r="BB113" i="8"/>
  <c r="BB114" i="8"/>
  <c r="BB115" i="8"/>
  <c r="BB116" i="8"/>
  <c r="BB117" i="8"/>
  <c r="BB118" i="8"/>
  <c r="BB119" i="8"/>
  <c r="BB120" i="8"/>
  <c r="BB121" i="8"/>
  <c r="BB122" i="8"/>
  <c r="BB123" i="8"/>
  <c r="BB124" i="8"/>
  <c r="BB125" i="8"/>
  <c r="BB126" i="8"/>
  <c r="BB127" i="8"/>
  <c r="BB128" i="8"/>
  <c r="BB129" i="8"/>
  <c r="BB130" i="8"/>
  <c r="BB131" i="8"/>
  <c r="BB132" i="8"/>
  <c r="BB133" i="8"/>
  <c r="BB134" i="8"/>
  <c r="BB135" i="8"/>
  <c r="BB136" i="8"/>
  <c r="BB137" i="8"/>
  <c r="BB138" i="8"/>
  <c r="BB139" i="8"/>
  <c r="BB140" i="8"/>
  <c r="BB141" i="8"/>
  <c r="BB142" i="8"/>
  <c r="BB143" i="8"/>
  <c r="BB144" i="8"/>
  <c r="BB145" i="8"/>
  <c r="BB146" i="8"/>
  <c r="BB147" i="8"/>
  <c r="BB148" i="8"/>
  <c r="BB149" i="8"/>
  <c r="BB150" i="8"/>
  <c r="BB151" i="8"/>
  <c r="BB152" i="8"/>
  <c r="BB153" i="8"/>
  <c r="BB154" i="8"/>
  <c r="BB155" i="8"/>
  <c r="BB156" i="8"/>
  <c r="BB157" i="8"/>
  <c r="BB158" i="8"/>
  <c r="BB159" i="8"/>
  <c r="BB160" i="8"/>
  <c r="BB161" i="8"/>
  <c r="BB162" i="8"/>
  <c r="BB163" i="8"/>
  <c r="BB164" i="8"/>
  <c r="BB165" i="8"/>
  <c r="BB166" i="8"/>
  <c r="BB167" i="8"/>
  <c r="BB168" i="8"/>
  <c r="BB169" i="8"/>
  <c r="BB170" i="8"/>
  <c r="BB171" i="8"/>
  <c r="BB172" i="8"/>
  <c r="BB173" i="8"/>
  <c r="BB174" i="8"/>
  <c r="BB175" i="8"/>
  <c r="BB176" i="8"/>
  <c r="BB177" i="8"/>
  <c r="BB178" i="8"/>
  <c r="BB179" i="8"/>
  <c r="BB180" i="8"/>
  <c r="BB181" i="8"/>
  <c r="BB182" i="8"/>
  <c r="BB183" i="8"/>
  <c r="BB184" i="8"/>
  <c r="BB185" i="8"/>
  <c r="BB186" i="8"/>
  <c r="BB187" i="8"/>
  <c r="BB188" i="8"/>
  <c r="BB189" i="8"/>
  <c r="BB190" i="8"/>
  <c r="BB191" i="8"/>
  <c r="BB192" i="8"/>
  <c r="BB193" i="8"/>
  <c r="BB194" i="8"/>
  <c r="BB195" i="8"/>
  <c r="BB196" i="8"/>
  <c r="BB197" i="8"/>
  <c r="BB198" i="8"/>
  <c r="BB199" i="8"/>
  <c r="BB200" i="8"/>
  <c r="BB201" i="8"/>
  <c r="BB202" i="8"/>
  <c r="BB203" i="8"/>
  <c r="BB204" i="8"/>
  <c r="BB205" i="8"/>
  <c r="BB206" i="8"/>
  <c r="BB207" i="8"/>
  <c r="BB208" i="8"/>
  <c r="BB209" i="8"/>
  <c r="BB210" i="8"/>
  <c r="BB211" i="8"/>
  <c r="BB212" i="8"/>
  <c r="BB213" i="8"/>
  <c r="BB214" i="8"/>
  <c r="BB215" i="8"/>
  <c r="BB216" i="8"/>
  <c r="BB217" i="8"/>
  <c r="BB218" i="8"/>
  <c r="BB219" i="8"/>
  <c r="BB220" i="8"/>
  <c r="BB221" i="8"/>
  <c r="BB222" i="8"/>
  <c r="BB223" i="8"/>
  <c r="BB224" i="8"/>
  <c r="BB225" i="8"/>
  <c r="BB226" i="8"/>
  <c r="BB227" i="8"/>
  <c r="BB228" i="8"/>
  <c r="BB229" i="8"/>
  <c r="BB230" i="8"/>
  <c r="BB231" i="8"/>
  <c r="BB232" i="8"/>
  <c r="BB233" i="8"/>
  <c r="BB234" i="8"/>
  <c r="BB235" i="8"/>
  <c r="BB236" i="8"/>
  <c r="BB237" i="8"/>
  <c r="BB238" i="8"/>
  <c r="BB239" i="8"/>
  <c r="BB240" i="8"/>
  <c r="BB241" i="8"/>
  <c r="BB242" i="8"/>
  <c r="BB243" i="8"/>
  <c r="BB244" i="8"/>
  <c r="BB245" i="8"/>
  <c r="BB246" i="8"/>
  <c r="BB247" i="8"/>
  <c r="BB248" i="8"/>
  <c r="BB249" i="8"/>
  <c r="BB250" i="8"/>
  <c r="BB251" i="8"/>
  <c r="BB252" i="8"/>
  <c r="BB253" i="8"/>
  <c r="BB254" i="8"/>
  <c r="BB255" i="8"/>
  <c r="BB256" i="8"/>
  <c r="BB257" i="8"/>
  <c r="BB258" i="8"/>
  <c r="BB259" i="8"/>
  <c r="BB260" i="8"/>
  <c r="BB261" i="8"/>
  <c r="BB262" i="8"/>
  <c r="BB263" i="8"/>
  <c r="BB264" i="8"/>
  <c r="BB265" i="8"/>
  <c r="BB266" i="8"/>
  <c r="BB268" i="8"/>
  <c r="BB269" i="8"/>
  <c r="BB270" i="8"/>
  <c r="BB271" i="8"/>
  <c r="BB272" i="8"/>
  <c r="BB273" i="8"/>
  <c r="BB274" i="8"/>
  <c r="BB275" i="8"/>
  <c r="BB276" i="8"/>
  <c r="BB277" i="8"/>
  <c r="BB278" i="8"/>
  <c r="BB279" i="8"/>
  <c r="BB280" i="8"/>
  <c r="BB281" i="8"/>
  <c r="BB282" i="8"/>
  <c r="BB283" i="8"/>
  <c r="BB284" i="8"/>
  <c r="BB285" i="8"/>
  <c r="BB286" i="8"/>
  <c r="BB287" i="8"/>
  <c r="BB288" i="8"/>
  <c r="BB289" i="8"/>
  <c r="BB290" i="8"/>
  <c r="BB291" i="8"/>
  <c r="BB292" i="8"/>
  <c r="BB293" i="8"/>
  <c r="BB294" i="8"/>
  <c r="BB295" i="8"/>
  <c r="BB296" i="8"/>
  <c r="BB297" i="8"/>
  <c r="BB298" i="8"/>
  <c r="BB299" i="8"/>
  <c r="BB300" i="8"/>
  <c r="BB301" i="8"/>
  <c r="BB302" i="8"/>
  <c r="BB303" i="8"/>
  <c r="BB304" i="8"/>
  <c r="BB305" i="8"/>
  <c r="BB306" i="8"/>
  <c r="BB307" i="8"/>
  <c r="BB308" i="8"/>
  <c r="BB309" i="8"/>
  <c r="BB310" i="8"/>
  <c r="BB311" i="8"/>
  <c r="BB312" i="8"/>
  <c r="BB313" i="8"/>
  <c r="BB314" i="8"/>
  <c r="BB320" i="8"/>
  <c r="BB476" i="8"/>
  <c r="BB322" i="8"/>
  <c r="BB323" i="8"/>
  <c r="BB324" i="8"/>
  <c r="BB325" i="8"/>
  <c r="BB326" i="8"/>
  <c r="BB327" i="8"/>
  <c r="BB328" i="8"/>
  <c r="BB329" i="8"/>
  <c r="BB330" i="8"/>
  <c r="BB331" i="8"/>
  <c r="BB332" i="8"/>
  <c r="BB333" i="8"/>
  <c r="BB334" i="8"/>
  <c r="BB335" i="8"/>
  <c r="BB336" i="8"/>
  <c r="BB337" i="8"/>
  <c r="BB339" i="8"/>
  <c r="BB340" i="8"/>
  <c r="BB341" i="8"/>
  <c r="BB344" i="8"/>
  <c r="BB345" i="8"/>
  <c r="BB346" i="8"/>
  <c r="BB347" i="8"/>
  <c r="BB348" i="8"/>
  <c r="BB349" i="8"/>
  <c r="BB350" i="8"/>
  <c r="BB351" i="8"/>
  <c r="BB352" i="8"/>
  <c r="BB353" i="8"/>
  <c r="BB354" i="8"/>
  <c r="BB355" i="8"/>
  <c r="BB356" i="8"/>
  <c r="BB357" i="8"/>
  <c r="BB358" i="8"/>
  <c r="BB359" i="8"/>
  <c r="BB360" i="8"/>
  <c r="BB361" i="8"/>
  <c r="BB362" i="8"/>
  <c r="BB363" i="8"/>
  <c r="BB364" i="8"/>
  <c r="BB365" i="8"/>
  <c r="BB366" i="8"/>
  <c r="BB367" i="8"/>
  <c r="BB368" i="8"/>
  <c r="BB369" i="8"/>
  <c r="BB370" i="8"/>
  <c r="BB371" i="8"/>
  <c r="BB372" i="8"/>
  <c r="BB373" i="8"/>
  <c r="BB374" i="8"/>
  <c r="BB375" i="8"/>
  <c r="BB376" i="8"/>
  <c r="BB377" i="8"/>
  <c r="BB378" i="8"/>
  <c r="BB391" i="8"/>
  <c r="BB392" i="8"/>
  <c r="BB393" i="8"/>
  <c r="BB394" i="8"/>
  <c r="BB395" i="8"/>
  <c r="BB396" i="8"/>
  <c r="BB397" i="8"/>
  <c r="BB398" i="8"/>
  <c r="BB399" i="8"/>
  <c r="BB400" i="8"/>
  <c r="BB401" i="8"/>
  <c r="BB402" i="8"/>
  <c r="BB403" i="8"/>
  <c r="BB404" i="8"/>
  <c r="BB405" i="8"/>
  <c r="BB406" i="8"/>
  <c r="BB407" i="8"/>
  <c r="BB408" i="8"/>
  <c r="BB409" i="8"/>
  <c r="BB410" i="8"/>
  <c r="BB411" i="8"/>
  <c r="BB412" i="8"/>
  <c r="BB413" i="8"/>
  <c r="AY474" i="8"/>
  <c r="AY475" i="8"/>
  <c r="AY315" i="8"/>
  <c r="AY316" i="8"/>
  <c r="AY317" i="8"/>
  <c r="AY318" i="8"/>
  <c r="AY501" i="8"/>
  <c r="AY503" i="8"/>
  <c r="AY485" i="8"/>
  <c r="AY486" i="8"/>
  <c r="AY415" i="8"/>
  <c r="AY416" i="8"/>
  <c r="AY417" i="8"/>
  <c r="AY418" i="8"/>
  <c r="AY419" i="8"/>
  <c r="AY420" i="8"/>
  <c r="AY421" i="8"/>
  <c r="AY422" i="8"/>
  <c r="AY423" i="8"/>
  <c r="AY424" i="8"/>
  <c r="AY425" i="8"/>
  <c r="AY426" i="8"/>
  <c r="AY427" i="8"/>
  <c r="AY428" i="8"/>
  <c r="AY429" i="8"/>
  <c r="AY430" i="8"/>
  <c r="AY431" i="8"/>
  <c r="AY432" i="8"/>
  <c r="AY433" i="8"/>
  <c r="AY434" i="8"/>
  <c r="AY435" i="8"/>
  <c r="AY436" i="8"/>
  <c r="AY437" i="8"/>
  <c r="AY438" i="8"/>
  <c r="AY439" i="8"/>
  <c r="AY440" i="8"/>
  <c r="AY441" i="8"/>
  <c r="AY442" i="8"/>
  <c r="AY443" i="8"/>
  <c r="AY444" i="8"/>
  <c r="AY445" i="8"/>
  <c r="AY446" i="8"/>
  <c r="AY447" i="8"/>
  <c r="AY448" i="8"/>
  <c r="AY449" i="8"/>
  <c r="AY450" i="8"/>
  <c r="AY451" i="8"/>
  <c r="AY452" i="8"/>
  <c r="AY453" i="8"/>
  <c r="AY454" i="8"/>
  <c r="AY455" i="8"/>
  <c r="AY456" i="8"/>
  <c r="AY457" i="8"/>
  <c r="AY458" i="8"/>
  <c r="AY459" i="8"/>
  <c r="AY460" i="8"/>
  <c r="AY461" i="8"/>
  <c r="AY462" i="8"/>
  <c r="AY463" i="8"/>
  <c r="AY464" i="8"/>
  <c r="AY465" i="8"/>
  <c r="AY466" i="8"/>
  <c r="AY467" i="8"/>
  <c r="AY468" i="8"/>
  <c r="AY469" i="8"/>
  <c r="AY470" i="8"/>
  <c r="AY477" i="8"/>
  <c r="AY478" i="8"/>
  <c r="AY479" i="8"/>
  <c r="AY480" i="8"/>
  <c r="AY481" i="8"/>
  <c r="AY482" i="8"/>
  <c r="AY483" i="8"/>
  <c r="AY484" i="8"/>
  <c r="AY414" i="8"/>
  <c r="AY25" i="8"/>
  <c r="AY26" i="8"/>
  <c r="AY27" i="8"/>
  <c r="AY29" i="8"/>
  <c r="AY30" i="8"/>
  <c r="AY31" i="8"/>
  <c r="AY32" i="8"/>
  <c r="AZ32" i="8" s="1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36" i="8"/>
  <c r="AY137" i="8"/>
  <c r="AY138" i="8"/>
  <c r="AY139" i="8"/>
  <c r="AY140" i="8"/>
  <c r="AY141" i="8"/>
  <c r="AY142" i="8"/>
  <c r="AY143" i="8"/>
  <c r="AY144" i="8"/>
  <c r="AY145" i="8"/>
  <c r="AY146" i="8"/>
  <c r="AY147" i="8"/>
  <c r="AY148" i="8"/>
  <c r="AY149" i="8"/>
  <c r="AY150" i="8"/>
  <c r="AY151" i="8"/>
  <c r="AY152" i="8"/>
  <c r="AY153" i="8"/>
  <c r="AY154" i="8"/>
  <c r="AY155" i="8"/>
  <c r="AY156" i="8"/>
  <c r="AY157" i="8"/>
  <c r="AY158" i="8"/>
  <c r="AY159" i="8"/>
  <c r="AY160" i="8"/>
  <c r="AY161" i="8"/>
  <c r="AY162" i="8"/>
  <c r="AY163" i="8"/>
  <c r="AY164" i="8"/>
  <c r="AY165" i="8"/>
  <c r="AY166" i="8"/>
  <c r="AY167" i="8"/>
  <c r="AY168" i="8"/>
  <c r="AY169" i="8"/>
  <c r="AY170" i="8"/>
  <c r="AY171" i="8"/>
  <c r="AY172" i="8"/>
  <c r="AY173" i="8"/>
  <c r="AY174" i="8"/>
  <c r="AY175" i="8"/>
  <c r="AY176" i="8"/>
  <c r="AY177" i="8"/>
  <c r="AY178" i="8"/>
  <c r="AY179" i="8"/>
  <c r="AY180" i="8"/>
  <c r="AY181" i="8"/>
  <c r="AY182" i="8"/>
  <c r="AY183" i="8"/>
  <c r="AY184" i="8"/>
  <c r="AY185" i="8"/>
  <c r="AY186" i="8"/>
  <c r="AY187" i="8"/>
  <c r="AY188" i="8"/>
  <c r="AY189" i="8"/>
  <c r="AY190" i="8"/>
  <c r="AY191" i="8"/>
  <c r="AY192" i="8"/>
  <c r="AY193" i="8"/>
  <c r="AY194" i="8"/>
  <c r="AY195" i="8"/>
  <c r="AY196" i="8"/>
  <c r="AY197" i="8"/>
  <c r="AY198" i="8"/>
  <c r="AY199" i="8"/>
  <c r="AY200" i="8"/>
  <c r="AY201" i="8"/>
  <c r="AY202" i="8"/>
  <c r="AY203" i="8"/>
  <c r="AY204" i="8"/>
  <c r="AY205" i="8"/>
  <c r="AY206" i="8"/>
  <c r="AY207" i="8"/>
  <c r="AY208" i="8"/>
  <c r="AY209" i="8"/>
  <c r="AY210" i="8"/>
  <c r="AY211" i="8"/>
  <c r="AY212" i="8"/>
  <c r="AY213" i="8"/>
  <c r="AY214" i="8"/>
  <c r="AY215" i="8"/>
  <c r="AY216" i="8"/>
  <c r="AY217" i="8"/>
  <c r="AY218" i="8"/>
  <c r="AY219" i="8"/>
  <c r="AY220" i="8"/>
  <c r="AY221" i="8"/>
  <c r="AY222" i="8"/>
  <c r="AY223" i="8"/>
  <c r="AY224" i="8"/>
  <c r="AY225" i="8"/>
  <c r="AY226" i="8"/>
  <c r="AY227" i="8"/>
  <c r="AY228" i="8"/>
  <c r="AY229" i="8"/>
  <c r="AY230" i="8"/>
  <c r="AY231" i="8"/>
  <c r="AY232" i="8"/>
  <c r="AY233" i="8"/>
  <c r="AY234" i="8"/>
  <c r="AY235" i="8"/>
  <c r="AY236" i="8"/>
  <c r="AY237" i="8"/>
  <c r="AY238" i="8"/>
  <c r="AY239" i="8"/>
  <c r="AY240" i="8"/>
  <c r="AY241" i="8"/>
  <c r="AY242" i="8"/>
  <c r="AY243" i="8"/>
  <c r="AY244" i="8"/>
  <c r="AY245" i="8"/>
  <c r="AY246" i="8"/>
  <c r="AY247" i="8"/>
  <c r="AY248" i="8"/>
  <c r="AY249" i="8"/>
  <c r="AY251" i="8"/>
  <c r="AY252" i="8"/>
  <c r="AY253" i="8"/>
  <c r="AY254" i="8"/>
  <c r="AY255" i="8"/>
  <c r="AY256" i="8"/>
  <c r="AY257" i="8"/>
  <c r="AY258" i="8"/>
  <c r="AY259" i="8"/>
  <c r="AY260" i="8"/>
  <c r="AY261" i="8"/>
  <c r="AY262" i="8"/>
  <c r="AY263" i="8"/>
  <c r="AY264" i="8"/>
  <c r="AY265" i="8"/>
  <c r="AY266" i="8"/>
  <c r="AY268" i="8"/>
  <c r="AY269" i="8"/>
  <c r="AY270" i="8"/>
  <c r="AY271" i="8"/>
  <c r="AY272" i="8"/>
  <c r="AY273" i="8"/>
  <c r="AY274" i="8"/>
  <c r="AY275" i="8"/>
  <c r="AY276" i="8"/>
  <c r="AY277" i="8"/>
  <c r="AY278" i="8"/>
  <c r="AY279" i="8"/>
  <c r="AY280" i="8"/>
  <c r="AY281" i="8"/>
  <c r="AY282" i="8"/>
  <c r="AY283" i="8"/>
  <c r="AY284" i="8"/>
  <c r="AY285" i="8"/>
  <c r="AY286" i="8"/>
  <c r="AY287" i="8"/>
  <c r="AY288" i="8"/>
  <c r="AY289" i="8"/>
  <c r="AY290" i="8"/>
  <c r="AY291" i="8"/>
  <c r="AY292" i="8"/>
  <c r="AY293" i="8"/>
  <c r="AY294" i="8"/>
  <c r="AY295" i="8"/>
  <c r="AY296" i="8"/>
  <c r="AY297" i="8"/>
  <c r="AY298" i="8"/>
  <c r="AY299" i="8"/>
  <c r="AY300" i="8"/>
  <c r="AY302" i="8"/>
  <c r="AY303" i="8"/>
  <c r="AY304" i="8"/>
  <c r="AY305" i="8"/>
  <c r="AY306" i="8"/>
  <c r="AY307" i="8"/>
  <c r="AY308" i="8"/>
  <c r="AY309" i="8"/>
  <c r="AY310" i="8"/>
  <c r="AY311" i="8"/>
  <c r="AY312" i="8"/>
  <c r="AY313" i="8"/>
  <c r="AY314" i="8"/>
  <c r="AY320" i="8"/>
  <c r="AY476" i="8"/>
  <c r="AY322" i="8"/>
  <c r="AY323" i="8"/>
  <c r="AY324" i="8"/>
  <c r="AY325" i="8"/>
  <c r="AY326" i="8"/>
  <c r="AY327" i="8"/>
  <c r="AY328" i="8"/>
  <c r="AY329" i="8"/>
  <c r="AY330" i="8"/>
  <c r="AY331" i="8"/>
  <c r="AY332" i="8"/>
  <c r="AY333" i="8"/>
  <c r="AY334" i="8"/>
  <c r="AY335" i="8"/>
  <c r="AY336" i="8"/>
  <c r="AY337" i="8"/>
  <c r="AY344" i="8"/>
  <c r="AY345" i="8"/>
  <c r="AY346" i="8"/>
  <c r="AY347" i="8"/>
  <c r="AY348" i="8"/>
  <c r="AY352" i="8"/>
  <c r="AY353" i="8"/>
  <c r="AY354" i="8"/>
  <c r="AY355" i="8"/>
  <c r="AY356" i="8"/>
  <c r="AY357" i="8"/>
  <c r="AY358" i="8"/>
  <c r="AY359" i="8"/>
  <c r="AY360" i="8"/>
  <c r="AY361" i="8"/>
  <c r="AY362" i="8"/>
  <c r="AY363" i="8"/>
  <c r="AY364" i="8"/>
  <c r="AY365" i="8"/>
  <c r="AY366" i="8"/>
  <c r="AY367" i="8"/>
  <c r="AY368" i="8"/>
  <c r="AY369" i="8"/>
  <c r="AY370" i="8"/>
  <c r="AY371" i="8"/>
  <c r="AY372" i="8"/>
  <c r="AY373" i="8"/>
  <c r="AY374" i="8"/>
  <c r="AY375" i="8"/>
  <c r="AY376" i="8"/>
  <c r="AY377" i="8"/>
  <c r="AY378" i="8"/>
  <c r="AY391" i="8"/>
  <c r="AY392" i="8"/>
  <c r="AY393" i="8"/>
  <c r="AY394" i="8"/>
  <c r="AY395" i="8"/>
  <c r="AY396" i="8"/>
  <c r="AY397" i="8"/>
  <c r="AY398" i="8"/>
  <c r="AY399" i="8"/>
  <c r="AY400" i="8"/>
  <c r="AY401" i="8"/>
  <c r="AY402" i="8"/>
  <c r="AY403" i="8"/>
  <c r="AY404" i="8"/>
  <c r="AY405" i="8"/>
  <c r="AY406" i="8"/>
  <c r="AY407" i="8"/>
  <c r="AY408" i="8"/>
  <c r="AY409" i="8"/>
  <c r="AY410" i="8"/>
  <c r="AY411" i="8"/>
  <c r="AY412" i="8"/>
  <c r="AY413" i="8"/>
  <c r="AX315" i="8"/>
  <c r="AX316" i="8"/>
  <c r="BA316" i="8" s="1"/>
  <c r="AX317" i="8"/>
  <c r="BA317" i="8" s="1"/>
  <c r="AX318" i="8"/>
  <c r="BA318" i="8" s="1"/>
  <c r="AX501" i="8"/>
  <c r="AX503" i="8"/>
  <c r="AX474" i="8"/>
  <c r="BA474" i="8" s="1"/>
  <c r="AX475" i="8"/>
  <c r="BA475" i="8" s="1"/>
  <c r="AX485" i="8"/>
  <c r="BA485" i="8" s="1"/>
  <c r="AX486" i="8"/>
  <c r="AX480" i="8"/>
  <c r="BA480" i="8" s="1"/>
  <c r="AX481" i="8"/>
  <c r="AX482" i="8"/>
  <c r="AX483" i="8"/>
  <c r="AX484" i="8"/>
  <c r="AX479" i="8"/>
  <c r="AX415" i="8"/>
  <c r="AX416" i="8"/>
  <c r="AX417" i="8"/>
  <c r="AX418" i="8"/>
  <c r="AX419" i="8"/>
  <c r="BA419" i="8" s="1"/>
  <c r="AX420" i="8"/>
  <c r="BA420" i="8" s="1"/>
  <c r="AX421" i="8"/>
  <c r="AX422" i="8"/>
  <c r="AX423" i="8"/>
  <c r="AX424" i="8"/>
  <c r="AX425" i="8"/>
  <c r="AX426" i="8"/>
  <c r="BA426" i="8" s="1"/>
  <c r="AX427" i="8"/>
  <c r="BA427" i="8" s="1"/>
  <c r="AX428" i="8"/>
  <c r="AX429" i="8"/>
  <c r="AX430" i="8"/>
  <c r="BA430" i="8" s="1"/>
  <c r="AX431" i="8"/>
  <c r="BA431" i="8" s="1"/>
  <c r="AX432" i="8"/>
  <c r="BA432" i="8" s="1"/>
  <c r="AX433" i="8"/>
  <c r="AX434" i="8"/>
  <c r="AX435" i="8"/>
  <c r="AX436" i="8"/>
  <c r="AX437" i="8"/>
  <c r="AX438" i="8"/>
  <c r="AX439" i="8"/>
  <c r="AX440" i="8"/>
  <c r="AX441" i="8"/>
  <c r="AX442" i="8"/>
  <c r="AX443" i="8"/>
  <c r="AX444" i="8"/>
  <c r="AX445" i="8"/>
  <c r="AX446" i="8"/>
  <c r="BA446" i="8" s="1"/>
  <c r="AX447" i="8"/>
  <c r="AX448" i="8"/>
  <c r="AX449" i="8"/>
  <c r="AX450" i="8"/>
  <c r="AX451" i="8"/>
  <c r="AX452" i="8"/>
  <c r="AX453" i="8"/>
  <c r="AX454" i="8"/>
  <c r="AX455" i="8"/>
  <c r="BA455" i="8" s="1"/>
  <c r="AX456" i="8"/>
  <c r="BA456" i="8" s="1"/>
  <c r="AX457" i="8"/>
  <c r="AX458" i="8"/>
  <c r="AX459" i="8"/>
  <c r="AX460" i="8"/>
  <c r="BA460" i="8" s="1"/>
  <c r="AX461" i="8"/>
  <c r="AX462" i="8"/>
  <c r="AX463" i="8"/>
  <c r="AX464" i="8"/>
  <c r="AX465" i="8"/>
  <c r="AX466" i="8"/>
  <c r="AX467" i="8"/>
  <c r="AX468" i="8"/>
  <c r="BA468" i="8" s="1"/>
  <c r="AX469" i="8"/>
  <c r="AX470" i="8"/>
  <c r="AX471" i="8"/>
  <c r="BA471" i="8" s="1"/>
  <c r="AX472" i="8"/>
  <c r="AX473" i="8"/>
  <c r="BA473" i="8" s="1"/>
  <c r="AX477" i="8"/>
  <c r="BA477" i="8" s="1"/>
  <c r="AX478" i="8"/>
  <c r="BA478" i="8" s="1"/>
  <c r="AX414" i="8"/>
  <c r="BA414" i="8" s="1"/>
  <c r="AX25" i="8"/>
  <c r="BA25" i="8" s="1"/>
  <c r="AX26" i="8"/>
  <c r="BA26" i="8" s="1"/>
  <c r="AX27" i="8"/>
  <c r="AX28" i="8"/>
  <c r="AX29" i="8"/>
  <c r="AX30" i="8"/>
  <c r="BA30" i="8" s="1"/>
  <c r="AX31" i="8"/>
  <c r="BA31" i="8" s="1"/>
  <c r="AX32" i="8"/>
  <c r="AX33" i="8"/>
  <c r="BA33" i="8" s="1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BA53" i="8" s="1"/>
  <c r="AX54" i="8"/>
  <c r="AX55" i="8"/>
  <c r="AX56" i="8"/>
  <c r="AX57" i="8"/>
  <c r="BA57" i="8" s="1"/>
  <c r="AX58" i="8"/>
  <c r="BA58" i="8" s="1"/>
  <c r="AX59" i="8"/>
  <c r="AX60" i="8"/>
  <c r="AX61" i="8"/>
  <c r="BA61" i="8" s="1"/>
  <c r="AX62" i="8"/>
  <c r="BA62" i="8" s="1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BA75" i="8" s="1"/>
  <c r="AX76" i="8"/>
  <c r="BA76" i="8" s="1"/>
  <c r="AX77" i="8"/>
  <c r="BA77" i="8" s="1"/>
  <c r="AX78" i="8"/>
  <c r="AX79" i="8"/>
  <c r="AX80" i="8"/>
  <c r="BA80" i="8" s="1"/>
  <c r="AX81" i="8"/>
  <c r="BA81" i="8" s="1"/>
  <c r="AX82" i="8"/>
  <c r="AX83" i="8"/>
  <c r="AX84" i="8"/>
  <c r="AX85" i="8"/>
  <c r="AX86" i="8"/>
  <c r="AX87" i="8"/>
  <c r="AX88" i="8"/>
  <c r="AX89" i="8"/>
  <c r="AX90" i="8"/>
  <c r="AX91" i="8"/>
  <c r="AX92" i="8"/>
  <c r="BA92" i="8" s="1"/>
  <c r="AX93" i="8"/>
  <c r="AX94" i="8"/>
  <c r="AX95" i="8"/>
  <c r="BA95" i="8" s="1"/>
  <c r="AX96" i="8"/>
  <c r="AX97" i="8"/>
  <c r="AX98" i="8"/>
  <c r="BA98" i="8" s="1"/>
  <c r="AX99" i="8"/>
  <c r="BA99" i="8" s="1"/>
  <c r="AX100" i="8"/>
  <c r="BA100" i="8" s="1"/>
  <c r="AX101" i="8"/>
  <c r="AX102" i="8"/>
  <c r="AX103" i="8"/>
  <c r="BA103" i="8" s="1"/>
  <c r="AX104" i="8"/>
  <c r="BA104" i="8" s="1"/>
  <c r="AX105" i="8"/>
  <c r="AX106" i="8"/>
  <c r="AX107" i="8"/>
  <c r="BA107" i="8" s="1"/>
  <c r="AX108" i="8"/>
  <c r="BA108" i="8" s="1"/>
  <c r="AX109" i="8"/>
  <c r="AX110" i="8"/>
  <c r="AX111" i="8"/>
  <c r="AX112" i="8"/>
  <c r="BA112" i="8" s="1"/>
  <c r="AX113" i="8"/>
  <c r="BA113" i="8" s="1"/>
  <c r="AX114" i="8"/>
  <c r="AX115" i="8"/>
  <c r="AX116" i="8"/>
  <c r="AX117" i="8"/>
  <c r="AX118" i="8"/>
  <c r="AX119" i="8"/>
  <c r="AX120" i="8"/>
  <c r="AX121" i="8"/>
  <c r="AX122" i="8"/>
  <c r="AX123" i="8"/>
  <c r="BA123" i="8" s="1"/>
  <c r="AX124" i="8"/>
  <c r="BA124" i="8" s="1"/>
  <c r="AX125" i="8"/>
  <c r="AX126" i="8"/>
  <c r="AX127" i="8"/>
  <c r="AX128" i="8"/>
  <c r="AX129" i="8"/>
  <c r="AX130" i="8"/>
  <c r="AX131" i="8"/>
  <c r="AX132" i="8"/>
  <c r="AX133" i="8"/>
  <c r="AX134" i="8"/>
  <c r="AX135" i="8"/>
  <c r="BA135" i="8" s="1"/>
  <c r="AX136" i="8"/>
  <c r="AX137" i="8"/>
  <c r="AX138" i="8"/>
  <c r="AX139" i="8"/>
  <c r="AX140" i="8"/>
  <c r="BA140" i="8" s="1"/>
  <c r="AX141" i="8"/>
  <c r="AX142" i="8"/>
  <c r="AX143" i="8"/>
  <c r="AX144" i="8"/>
  <c r="AX145" i="8"/>
  <c r="AX146" i="8"/>
  <c r="AX147" i="8"/>
  <c r="AX148" i="8"/>
  <c r="BA148" i="8" s="1"/>
  <c r="AX149" i="8"/>
  <c r="AX150" i="8"/>
  <c r="AX151" i="8"/>
  <c r="AX152" i="8"/>
  <c r="AX153" i="8"/>
  <c r="AX154" i="8"/>
  <c r="AX155" i="8"/>
  <c r="AX156" i="8"/>
  <c r="BA156" i="8" s="1"/>
  <c r="AX157" i="8"/>
  <c r="AX158" i="8"/>
  <c r="BA158" i="8" s="1"/>
  <c r="AX159" i="8"/>
  <c r="AX160" i="8"/>
  <c r="AX161" i="8"/>
  <c r="AX162" i="8"/>
  <c r="AX163" i="8"/>
  <c r="AX164" i="8"/>
  <c r="AX165" i="8"/>
  <c r="AX166" i="8"/>
  <c r="AX167" i="8"/>
  <c r="AX168" i="8"/>
  <c r="AX169" i="8"/>
  <c r="AX170" i="8"/>
  <c r="AX171" i="8"/>
  <c r="AX172" i="8"/>
  <c r="AX173" i="8"/>
  <c r="AX174" i="8"/>
  <c r="BA174" i="8" s="1"/>
  <c r="AX175" i="8"/>
  <c r="BA175" i="8" s="1"/>
  <c r="AX176" i="8"/>
  <c r="BA176" i="8" s="1"/>
  <c r="AX177" i="8"/>
  <c r="BA177" i="8" s="1"/>
  <c r="AX178" i="8"/>
  <c r="AX179" i="8"/>
  <c r="AX180" i="8"/>
  <c r="AX181" i="8"/>
  <c r="AX182" i="8"/>
  <c r="BA182" i="8" s="1"/>
  <c r="AX183" i="8"/>
  <c r="BA183" i="8" s="1"/>
  <c r="AX184" i="8"/>
  <c r="AX185" i="8"/>
  <c r="AX186" i="8"/>
  <c r="AX187" i="8"/>
  <c r="AX188" i="8"/>
  <c r="AX189" i="8"/>
  <c r="AX190" i="8"/>
  <c r="AX191" i="8"/>
  <c r="AX192" i="8"/>
  <c r="AX193" i="8"/>
  <c r="AX194" i="8"/>
  <c r="AX195" i="8"/>
  <c r="AX196" i="8"/>
  <c r="AX197" i="8"/>
  <c r="AX198" i="8"/>
  <c r="AX199" i="8"/>
  <c r="BA199" i="8" s="1"/>
  <c r="AX200" i="8"/>
  <c r="BA200" i="8" s="1"/>
  <c r="AX201" i="8"/>
  <c r="BA201" i="8" s="1"/>
  <c r="AX202" i="8"/>
  <c r="BA202" i="8" s="1"/>
  <c r="AX203" i="8"/>
  <c r="AX204" i="8"/>
  <c r="AX205" i="8"/>
  <c r="AX206" i="8"/>
  <c r="AX207" i="8"/>
  <c r="AX208" i="8"/>
  <c r="AX209" i="8"/>
  <c r="BA209" i="8" s="1"/>
  <c r="AX210" i="8"/>
  <c r="AX211" i="8"/>
  <c r="AX212" i="8"/>
  <c r="BA212" i="8" s="1"/>
  <c r="AX213" i="8"/>
  <c r="BA213" i="8" s="1"/>
  <c r="AX214" i="8"/>
  <c r="AX215" i="8"/>
  <c r="AX216" i="8"/>
  <c r="AX217" i="8"/>
  <c r="AX218" i="8"/>
  <c r="AX219" i="8"/>
  <c r="AX220" i="8"/>
  <c r="AX221" i="8"/>
  <c r="AX222" i="8"/>
  <c r="AX223" i="8"/>
  <c r="AX224" i="8"/>
  <c r="BA224" i="8" s="1"/>
  <c r="AX225" i="8"/>
  <c r="BA225" i="8" s="1"/>
  <c r="AX226" i="8"/>
  <c r="AX227" i="8"/>
  <c r="AX228" i="8"/>
  <c r="AX229" i="8"/>
  <c r="AX230" i="8"/>
  <c r="AX231" i="8"/>
  <c r="AX232" i="8"/>
  <c r="BA232" i="8" s="1"/>
  <c r="AX233" i="8"/>
  <c r="AX234" i="8"/>
  <c r="AX235" i="8"/>
  <c r="AX236" i="8"/>
  <c r="AX237" i="8"/>
  <c r="AX238" i="8"/>
  <c r="AX239" i="8"/>
  <c r="AX240" i="8"/>
  <c r="AX241" i="8"/>
  <c r="AX242" i="8"/>
  <c r="AX243" i="8"/>
  <c r="AX244" i="8"/>
  <c r="AX245" i="8"/>
  <c r="AX246" i="8"/>
  <c r="BA246" i="8" s="1"/>
  <c r="AX247" i="8"/>
  <c r="AX248" i="8"/>
  <c r="BA248" i="8" s="1"/>
  <c r="AX249" i="8"/>
  <c r="BA249" i="8" s="1"/>
  <c r="AX250" i="8"/>
  <c r="AX251" i="8"/>
  <c r="BA251" i="8" s="1"/>
  <c r="AX252" i="8"/>
  <c r="AX253" i="8"/>
  <c r="BA253" i="8" s="1"/>
  <c r="AX254" i="8"/>
  <c r="AX255" i="8"/>
  <c r="AX256" i="8"/>
  <c r="AX257" i="8"/>
  <c r="AX258" i="8"/>
  <c r="AX259" i="8"/>
  <c r="AX260" i="8"/>
  <c r="AX261" i="8"/>
  <c r="AX262" i="8"/>
  <c r="AX263" i="8"/>
  <c r="AX264" i="8"/>
  <c r="AX265" i="8"/>
  <c r="AX266" i="8"/>
  <c r="AX268" i="8"/>
  <c r="BA268" i="8" s="1"/>
  <c r="AX269" i="8"/>
  <c r="AX270" i="8"/>
  <c r="BA270" i="8" s="1"/>
  <c r="AX271" i="8"/>
  <c r="BA271" i="8" s="1"/>
  <c r="AX272" i="8"/>
  <c r="AX273" i="8"/>
  <c r="AX274" i="8"/>
  <c r="BA274" i="8" s="1"/>
  <c r="AX275" i="8"/>
  <c r="AX276" i="8"/>
  <c r="AX277" i="8"/>
  <c r="AX278" i="8"/>
  <c r="AX279" i="8"/>
  <c r="BA279" i="8" s="1"/>
  <c r="AX280" i="8"/>
  <c r="AX281" i="8"/>
  <c r="AX282" i="8"/>
  <c r="BA282" i="8" s="1"/>
  <c r="AX283" i="8"/>
  <c r="BA283" i="8" s="1"/>
  <c r="AX284" i="8"/>
  <c r="BA284" i="8" s="1"/>
  <c r="AX285" i="8"/>
  <c r="BA285" i="8" s="1"/>
  <c r="AX286" i="8"/>
  <c r="BA286" i="8" s="1"/>
  <c r="AX287" i="8"/>
  <c r="BA287" i="8" s="1"/>
  <c r="AX288" i="8"/>
  <c r="AX289" i="8"/>
  <c r="AX290" i="8"/>
  <c r="BA290" i="8" s="1"/>
  <c r="AX291" i="8"/>
  <c r="AX292" i="8"/>
  <c r="AX293" i="8"/>
  <c r="AX294" i="8"/>
  <c r="AX295" i="8"/>
  <c r="AX296" i="8"/>
  <c r="AX297" i="8"/>
  <c r="AX298" i="8"/>
  <c r="AX299" i="8"/>
  <c r="BA299" i="8" s="1"/>
  <c r="AX300" i="8"/>
  <c r="AX301" i="8"/>
  <c r="AX302" i="8"/>
  <c r="BA302" i="8" s="1"/>
  <c r="AX303" i="8"/>
  <c r="AX304" i="8"/>
  <c r="AX305" i="8"/>
  <c r="BA305" i="8" s="1"/>
  <c r="AX306" i="8"/>
  <c r="AX307" i="8"/>
  <c r="AX308" i="8"/>
  <c r="AX309" i="8"/>
  <c r="AX310" i="8"/>
  <c r="AX311" i="8"/>
  <c r="AX312" i="8"/>
  <c r="AX313" i="8"/>
  <c r="AX314" i="8"/>
  <c r="AX320" i="8"/>
  <c r="AX476" i="8"/>
  <c r="BA476" i="8" s="1"/>
  <c r="AX322" i="8"/>
  <c r="AX323" i="8"/>
  <c r="AX324" i="8"/>
  <c r="AX325" i="8"/>
  <c r="AX326" i="8"/>
  <c r="AX327" i="8"/>
  <c r="AX328" i="8"/>
  <c r="AX329" i="8"/>
  <c r="AX330" i="8"/>
  <c r="AX331" i="8"/>
  <c r="AX332" i="8"/>
  <c r="AX333" i="8"/>
  <c r="AX334" i="8"/>
  <c r="AX335" i="8"/>
  <c r="AX336" i="8"/>
  <c r="AX337" i="8"/>
  <c r="BA337" i="8" s="1"/>
  <c r="AX338" i="8"/>
  <c r="BA338" i="8" s="1"/>
  <c r="AX339" i="8"/>
  <c r="BA339" i="8" s="1"/>
  <c r="AX340" i="8"/>
  <c r="AX341" i="8"/>
  <c r="AX342" i="8"/>
  <c r="BA342" i="8" s="1"/>
  <c r="AX343" i="8"/>
  <c r="BA343" i="8" s="1"/>
  <c r="AX344" i="8"/>
  <c r="AX345" i="8"/>
  <c r="AX346" i="8"/>
  <c r="AX347" i="8"/>
  <c r="AX348" i="8"/>
  <c r="AX349" i="8"/>
  <c r="BA349" i="8" s="1"/>
  <c r="AX350" i="8"/>
  <c r="BA350" i="8" s="1"/>
  <c r="AX351" i="8"/>
  <c r="BA351" i="8" s="1"/>
  <c r="AX352" i="8"/>
  <c r="AX353" i="8"/>
  <c r="AX354" i="8"/>
  <c r="BA354" i="8" s="1"/>
  <c r="AX355" i="8"/>
  <c r="BA355" i="8" s="1"/>
  <c r="AX356" i="8"/>
  <c r="AX357" i="8"/>
  <c r="AX358" i="8"/>
  <c r="BA358" i="8" s="1"/>
  <c r="AX359" i="8"/>
  <c r="BA359" i="8" s="1"/>
  <c r="AX360" i="8"/>
  <c r="AX361" i="8"/>
  <c r="AX362" i="8"/>
  <c r="AX363" i="8"/>
  <c r="AX364" i="8"/>
  <c r="AX365" i="8"/>
  <c r="AX366" i="8"/>
  <c r="AX367" i="8"/>
  <c r="AX368" i="8"/>
  <c r="BA368" i="8" s="1"/>
  <c r="AX369" i="8"/>
  <c r="BA369" i="8" s="1"/>
  <c r="AX370" i="8"/>
  <c r="AX371" i="8"/>
  <c r="AX372" i="8"/>
  <c r="BA372" i="8" s="1"/>
  <c r="AX373" i="8"/>
  <c r="BA373" i="8" s="1"/>
  <c r="AX374" i="8"/>
  <c r="AX375" i="8"/>
  <c r="AX376" i="8"/>
  <c r="AX377" i="8"/>
  <c r="AX378" i="8"/>
  <c r="BA378" i="8" s="1"/>
  <c r="AX391" i="8"/>
  <c r="BA391" i="8" s="1"/>
  <c r="AX392" i="8"/>
  <c r="BA392" i="8" s="1"/>
  <c r="AX393" i="8"/>
  <c r="AX394" i="8"/>
  <c r="AX395" i="8"/>
  <c r="AX396" i="8"/>
  <c r="AX397" i="8"/>
  <c r="AX398" i="8"/>
  <c r="AX399" i="8"/>
  <c r="AX400" i="8"/>
  <c r="AX401" i="8"/>
  <c r="AX402" i="8"/>
  <c r="AX403" i="8"/>
  <c r="AX404" i="8"/>
  <c r="AX405" i="8"/>
  <c r="AX406" i="8"/>
  <c r="AX407" i="8"/>
  <c r="AX408" i="8"/>
  <c r="BA408" i="8" s="1"/>
  <c r="AX409" i="8"/>
  <c r="AX410" i="8"/>
  <c r="AX411" i="8"/>
  <c r="AX412" i="8"/>
  <c r="AX413" i="8"/>
  <c r="AW474" i="8"/>
  <c r="AW475" i="8"/>
  <c r="AW25" i="8"/>
  <c r="AW26" i="8"/>
  <c r="AW27" i="8"/>
  <c r="AW28" i="8"/>
  <c r="AZ28" i="8" s="1"/>
  <c r="AW29" i="8"/>
  <c r="AW30" i="8"/>
  <c r="AW31" i="8"/>
  <c r="AW33" i="8"/>
  <c r="AW34" i="8"/>
  <c r="AW35" i="8"/>
  <c r="AW36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Z122" i="8" s="1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W138" i="8"/>
  <c r="AW139" i="8"/>
  <c r="AW140" i="8"/>
  <c r="AW141" i="8"/>
  <c r="AW142" i="8"/>
  <c r="AW143" i="8"/>
  <c r="AW144" i="8"/>
  <c r="AW145" i="8"/>
  <c r="AW146" i="8"/>
  <c r="AW147" i="8"/>
  <c r="AW148" i="8"/>
  <c r="AW149" i="8"/>
  <c r="AW150" i="8"/>
  <c r="AW151" i="8"/>
  <c r="AW152" i="8"/>
  <c r="AW153" i="8"/>
  <c r="AW154" i="8"/>
  <c r="AW155" i="8"/>
  <c r="AW156" i="8"/>
  <c r="AW157" i="8"/>
  <c r="AW158" i="8"/>
  <c r="AW159" i="8"/>
  <c r="AW160" i="8"/>
  <c r="AW161" i="8"/>
  <c r="AW162" i="8"/>
  <c r="AW163" i="8"/>
  <c r="AW164" i="8"/>
  <c r="AW165" i="8"/>
  <c r="AW166" i="8"/>
  <c r="AW167" i="8"/>
  <c r="AW168" i="8"/>
  <c r="AW169" i="8"/>
  <c r="AW170" i="8"/>
  <c r="AW171" i="8"/>
  <c r="AW172" i="8"/>
  <c r="AW173" i="8"/>
  <c r="AW174" i="8"/>
  <c r="AW175" i="8"/>
  <c r="AW176" i="8"/>
  <c r="AW177" i="8"/>
  <c r="AW178" i="8"/>
  <c r="AW179" i="8"/>
  <c r="AW180" i="8"/>
  <c r="AW181" i="8"/>
  <c r="AW182" i="8"/>
  <c r="AW183" i="8"/>
  <c r="AW184" i="8"/>
  <c r="AW185" i="8"/>
  <c r="AW186" i="8"/>
  <c r="AW187" i="8"/>
  <c r="AW188" i="8"/>
  <c r="AW189" i="8"/>
  <c r="AW190" i="8"/>
  <c r="AW191" i="8"/>
  <c r="AW192" i="8"/>
  <c r="AW193" i="8"/>
  <c r="AW194" i="8"/>
  <c r="AW195" i="8"/>
  <c r="AW196" i="8"/>
  <c r="AW197" i="8"/>
  <c r="AW198" i="8"/>
  <c r="AW199" i="8"/>
  <c r="AW200" i="8"/>
  <c r="AW201" i="8"/>
  <c r="AW202" i="8"/>
  <c r="AW203" i="8"/>
  <c r="AW204" i="8"/>
  <c r="AW205" i="8"/>
  <c r="AW206" i="8"/>
  <c r="AW207" i="8"/>
  <c r="AW208" i="8"/>
  <c r="AW209" i="8"/>
  <c r="AW210" i="8"/>
  <c r="AW211" i="8"/>
  <c r="AW212" i="8"/>
  <c r="AW213" i="8"/>
  <c r="AW214" i="8"/>
  <c r="AW215" i="8"/>
  <c r="AW216" i="8"/>
  <c r="AW217" i="8"/>
  <c r="AW218" i="8"/>
  <c r="AW219" i="8"/>
  <c r="AW220" i="8"/>
  <c r="AW221" i="8"/>
  <c r="AW222" i="8"/>
  <c r="AW223" i="8"/>
  <c r="AW224" i="8"/>
  <c r="AW225" i="8"/>
  <c r="AW226" i="8"/>
  <c r="AW227" i="8"/>
  <c r="AW228" i="8"/>
  <c r="AW229" i="8"/>
  <c r="AW230" i="8"/>
  <c r="AW231" i="8"/>
  <c r="AW232" i="8"/>
  <c r="AW233" i="8"/>
  <c r="AW234" i="8"/>
  <c r="AW235" i="8"/>
  <c r="AW236" i="8"/>
  <c r="AW237" i="8"/>
  <c r="AW238" i="8"/>
  <c r="AW239" i="8"/>
  <c r="AW240" i="8"/>
  <c r="AW241" i="8"/>
  <c r="AW242" i="8"/>
  <c r="AW243" i="8"/>
  <c r="AW244" i="8"/>
  <c r="AW245" i="8"/>
  <c r="AW246" i="8"/>
  <c r="AW247" i="8"/>
  <c r="AW248" i="8"/>
  <c r="AW249" i="8"/>
  <c r="AW250" i="8"/>
  <c r="AW251" i="8"/>
  <c r="AW252" i="8"/>
  <c r="AW253" i="8"/>
  <c r="AW254" i="8"/>
  <c r="AW255" i="8"/>
  <c r="AW256" i="8"/>
  <c r="AW257" i="8"/>
  <c r="AW258" i="8"/>
  <c r="AW259" i="8"/>
  <c r="AW260" i="8"/>
  <c r="AW261" i="8"/>
  <c r="AW262" i="8"/>
  <c r="AW263" i="8"/>
  <c r="AW264" i="8"/>
  <c r="AW265" i="8"/>
  <c r="AW266" i="8"/>
  <c r="AW268" i="8"/>
  <c r="AW269" i="8"/>
  <c r="AW270" i="8"/>
  <c r="AW271" i="8"/>
  <c r="AW272" i="8"/>
  <c r="AW273" i="8"/>
  <c r="AW274" i="8"/>
  <c r="AW275" i="8"/>
  <c r="AW276" i="8"/>
  <c r="AW277" i="8"/>
  <c r="AW278" i="8"/>
  <c r="AW279" i="8"/>
  <c r="AW280" i="8"/>
  <c r="AW281" i="8"/>
  <c r="AW282" i="8"/>
  <c r="AW283" i="8"/>
  <c r="AW284" i="8"/>
  <c r="AW285" i="8"/>
  <c r="AW286" i="8"/>
  <c r="AW287" i="8"/>
  <c r="AW288" i="8"/>
  <c r="AW289" i="8"/>
  <c r="AW290" i="8"/>
  <c r="AW291" i="8"/>
  <c r="AW292" i="8"/>
  <c r="AW293" i="8"/>
  <c r="AW294" i="8"/>
  <c r="AW295" i="8"/>
  <c r="AW296" i="8"/>
  <c r="AW297" i="8"/>
  <c r="AW298" i="8"/>
  <c r="AW299" i="8"/>
  <c r="AW300" i="8"/>
  <c r="AW301" i="8"/>
  <c r="AZ301" i="8" s="1"/>
  <c r="AW302" i="8"/>
  <c r="AW303" i="8"/>
  <c r="AW304" i="8"/>
  <c r="AW305" i="8"/>
  <c r="AW306" i="8"/>
  <c r="AW307" i="8"/>
  <c r="AW308" i="8"/>
  <c r="AW309" i="8"/>
  <c r="AW310" i="8"/>
  <c r="AW311" i="8"/>
  <c r="AW312" i="8"/>
  <c r="AW313" i="8"/>
  <c r="AW314" i="8"/>
  <c r="AW320" i="8"/>
  <c r="AW476" i="8"/>
  <c r="AW322" i="8"/>
  <c r="AW323" i="8"/>
  <c r="AW324" i="8"/>
  <c r="AW325" i="8"/>
  <c r="AW326" i="8"/>
  <c r="AW327" i="8"/>
  <c r="AW328" i="8"/>
  <c r="AW329" i="8"/>
  <c r="AW330" i="8"/>
  <c r="AW331" i="8"/>
  <c r="AW332" i="8"/>
  <c r="AW333" i="8"/>
  <c r="AW334" i="8"/>
  <c r="AW335" i="8"/>
  <c r="AW336" i="8"/>
  <c r="AW337" i="8"/>
  <c r="AW338" i="8"/>
  <c r="AW339" i="8"/>
  <c r="AZ339" i="8" s="1"/>
  <c r="AW340" i="8"/>
  <c r="AW341" i="8"/>
  <c r="AW342" i="8"/>
  <c r="AW343" i="8"/>
  <c r="AW344" i="8"/>
  <c r="AW345" i="8"/>
  <c r="AW346" i="8"/>
  <c r="AW347" i="8"/>
  <c r="AW348" i="8"/>
  <c r="AW349" i="8"/>
  <c r="AW350" i="8"/>
  <c r="AW351" i="8"/>
  <c r="AW352" i="8"/>
  <c r="AW353" i="8"/>
  <c r="AW354" i="8"/>
  <c r="AW355" i="8"/>
  <c r="AW356" i="8"/>
  <c r="AW357" i="8"/>
  <c r="AW358" i="8"/>
  <c r="AW359" i="8"/>
  <c r="AW360" i="8"/>
  <c r="AW361" i="8"/>
  <c r="AW362" i="8"/>
  <c r="AW363" i="8"/>
  <c r="AW364" i="8"/>
  <c r="AW365" i="8"/>
  <c r="AW366" i="8"/>
  <c r="AW367" i="8"/>
  <c r="AW368" i="8"/>
  <c r="AW369" i="8"/>
  <c r="AW370" i="8"/>
  <c r="AW371" i="8"/>
  <c r="AW372" i="8"/>
  <c r="AW373" i="8"/>
  <c r="AW374" i="8"/>
  <c r="AW375" i="8"/>
  <c r="AW376" i="8"/>
  <c r="AW377" i="8"/>
  <c r="AW378" i="8"/>
  <c r="AW391" i="8"/>
  <c r="AW392" i="8"/>
  <c r="AW393" i="8"/>
  <c r="AW394" i="8"/>
  <c r="AW395" i="8"/>
  <c r="AW396" i="8"/>
  <c r="AW397" i="8"/>
  <c r="AW398" i="8"/>
  <c r="AW399" i="8"/>
  <c r="AW400" i="8"/>
  <c r="AW401" i="8"/>
  <c r="AW402" i="8"/>
  <c r="AW403" i="8"/>
  <c r="AW404" i="8"/>
  <c r="AW405" i="8"/>
  <c r="AW406" i="8"/>
  <c r="AW407" i="8"/>
  <c r="AW408" i="8"/>
  <c r="AW409" i="8"/>
  <c r="AW410" i="8"/>
  <c r="AW411" i="8"/>
  <c r="AW412" i="8"/>
  <c r="AW413" i="8"/>
  <c r="AW414" i="8"/>
  <c r="AW415" i="8"/>
  <c r="AW416" i="8"/>
  <c r="AW417" i="8"/>
  <c r="AW418" i="8"/>
  <c r="AW419" i="8"/>
  <c r="AW420" i="8"/>
  <c r="AW421" i="8"/>
  <c r="AW422" i="8"/>
  <c r="AW423" i="8"/>
  <c r="AW424" i="8"/>
  <c r="AW425" i="8"/>
  <c r="AW426" i="8"/>
  <c r="AW427" i="8"/>
  <c r="AW428" i="8"/>
  <c r="AW429" i="8"/>
  <c r="AW430" i="8"/>
  <c r="AW431" i="8"/>
  <c r="AW432" i="8"/>
  <c r="AW433" i="8"/>
  <c r="AW434" i="8"/>
  <c r="AW435" i="8"/>
  <c r="AW436" i="8"/>
  <c r="AW437" i="8"/>
  <c r="AW438" i="8"/>
  <c r="AW439" i="8"/>
  <c r="AW440" i="8"/>
  <c r="AW441" i="8"/>
  <c r="AW442" i="8"/>
  <c r="AW443" i="8"/>
  <c r="AW444" i="8"/>
  <c r="AW445" i="8"/>
  <c r="AW446" i="8"/>
  <c r="AW447" i="8"/>
  <c r="AW448" i="8"/>
  <c r="AW449" i="8"/>
  <c r="AW450" i="8"/>
  <c r="AW451" i="8"/>
  <c r="AW452" i="8"/>
  <c r="AW453" i="8"/>
  <c r="AW454" i="8"/>
  <c r="AW455" i="8"/>
  <c r="AW456" i="8"/>
  <c r="AW457" i="8"/>
  <c r="AW458" i="8"/>
  <c r="AW459" i="8"/>
  <c r="AW460" i="8"/>
  <c r="AW461" i="8"/>
  <c r="AW462" i="8"/>
  <c r="AW463" i="8"/>
  <c r="AW464" i="8"/>
  <c r="AW465" i="8"/>
  <c r="AW466" i="8"/>
  <c r="AW467" i="8"/>
  <c r="AW468" i="8"/>
  <c r="AW469" i="8"/>
  <c r="AW470" i="8"/>
  <c r="AW471" i="8"/>
  <c r="AW472" i="8"/>
  <c r="AW473" i="8"/>
  <c r="AZ473" i="8" s="1"/>
  <c r="AW477" i="8"/>
  <c r="AW478" i="8"/>
  <c r="AW479" i="8"/>
  <c r="AW480" i="8"/>
  <c r="AW481" i="8"/>
  <c r="AW482" i="8"/>
  <c r="AW483" i="8"/>
  <c r="AW484" i="8"/>
  <c r="AW485" i="8"/>
  <c r="AW486" i="8"/>
  <c r="AW315" i="8"/>
  <c r="AW316" i="8"/>
  <c r="AW317" i="8"/>
  <c r="AW318" i="8"/>
  <c r="AW501" i="8"/>
  <c r="AW503" i="8"/>
  <c r="BA465" i="8" l="1"/>
  <c r="BA457" i="8"/>
  <c r="BA449" i="8"/>
  <c r="BA433" i="8"/>
  <c r="BA417" i="8"/>
  <c r="BA132" i="8"/>
  <c r="BA463" i="8"/>
  <c r="BA447" i="8"/>
  <c r="BA439" i="8"/>
  <c r="BA415" i="8"/>
  <c r="BA315" i="8"/>
  <c r="BA198" i="8"/>
  <c r="BA227" i="8"/>
  <c r="BA219" i="8"/>
  <c r="BA203" i="8"/>
  <c r="BA196" i="8"/>
  <c r="BA188" i="8"/>
  <c r="BA180" i="8"/>
  <c r="BA172" i="8"/>
  <c r="BA164" i="8"/>
  <c r="AZ337" i="8"/>
  <c r="AZ329" i="8"/>
  <c r="AZ476" i="8"/>
  <c r="AZ308" i="8"/>
  <c r="BA121" i="8"/>
  <c r="BA89" i="8"/>
  <c r="BA73" i="8"/>
  <c r="BA65" i="8"/>
  <c r="BA49" i="8"/>
  <c r="BA41" i="8"/>
  <c r="BA241" i="8"/>
  <c r="BA233" i="8"/>
  <c r="BA217" i="8"/>
  <c r="BA194" i="8"/>
  <c r="BA186" i="8"/>
  <c r="BA178" i="8"/>
  <c r="BA170" i="8"/>
  <c r="BA162" i="8"/>
  <c r="BA154" i="8"/>
  <c r="BA146" i="8"/>
  <c r="BA138" i="8"/>
  <c r="BA130" i="8"/>
  <c r="AZ332" i="8"/>
  <c r="AZ324" i="8"/>
  <c r="AZ311" i="8"/>
  <c r="AZ303" i="8"/>
  <c r="BA243" i="8"/>
  <c r="AZ338" i="8"/>
  <c r="AZ322" i="8"/>
  <c r="AZ309" i="8"/>
  <c r="AZ334" i="8"/>
  <c r="AZ326" i="8"/>
  <c r="AZ313" i="8"/>
  <c r="AZ305" i="8"/>
  <c r="AZ335" i="8"/>
  <c r="AZ327" i="8"/>
  <c r="AZ314" i="8"/>
  <c r="AZ306" i="8"/>
  <c r="BA348" i="8"/>
  <c r="AZ336" i="8"/>
  <c r="AZ328" i="8"/>
  <c r="AZ320" i="8"/>
  <c r="AZ307" i="8"/>
  <c r="BA324" i="8"/>
  <c r="AZ325" i="8"/>
  <c r="AZ312" i="8"/>
  <c r="AZ304" i="8"/>
  <c r="BA244" i="8"/>
  <c r="BA228" i="8"/>
  <c r="BA220" i="8"/>
  <c r="BA204" i="8"/>
  <c r="BA189" i="8"/>
  <c r="BA181" i="8"/>
  <c r="BA173" i="8"/>
  <c r="BA165" i="8"/>
  <c r="BA157" i="8"/>
  <c r="BA149" i="8"/>
  <c r="BA141" i="8"/>
  <c r="BA133" i="8"/>
  <c r="BA125" i="8"/>
  <c r="AZ331" i="8"/>
  <c r="AZ323" i="8"/>
  <c r="AZ310" i="8"/>
  <c r="AZ302" i="8"/>
  <c r="BA332" i="8"/>
  <c r="BA116" i="8"/>
  <c r="BA84" i="8"/>
  <c r="BA68" i="8"/>
  <c r="BA60" i="8"/>
  <c r="BA52" i="8"/>
  <c r="BA44" i="8"/>
  <c r="BA36" i="8"/>
  <c r="BA310" i="8"/>
  <c r="BA293" i="8"/>
  <c r="BA277" i="8"/>
  <c r="BA269" i="8"/>
  <c r="BA260" i="8"/>
  <c r="BA115" i="8"/>
  <c r="BA83" i="8"/>
  <c r="BA67" i="8"/>
  <c r="BA59" i="8"/>
  <c r="BA51" i="8"/>
  <c r="BA43" i="8"/>
  <c r="BA35" i="8"/>
  <c r="BA409" i="8"/>
  <c r="BA401" i="8"/>
  <c r="BA393" i="8"/>
  <c r="BA365" i="8"/>
  <c r="BA308" i="8"/>
  <c r="BA300" i="8"/>
  <c r="BA292" i="8"/>
  <c r="BA276" i="8"/>
  <c r="BA259" i="8"/>
  <c r="BA464" i="8"/>
  <c r="BA448" i="8"/>
  <c r="BA416" i="8"/>
  <c r="BA411" i="8"/>
  <c r="BA403" i="8"/>
  <c r="BA395" i="8"/>
  <c r="BA375" i="8"/>
  <c r="BA258" i="8"/>
  <c r="BA334" i="8"/>
  <c r="BA326" i="8"/>
  <c r="BA303" i="8"/>
  <c r="BA467" i="8"/>
  <c r="BA459" i="8"/>
  <c r="BA451" i="8"/>
  <c r="BA443" i="8"/>
  <c r="BA435" i="8"/>
  <c r="BA501" i="8"/>
  <c r="BA294" i="8"/>
  <c r="BA278" i="8"/>
  <c r="BA261" i="8"/>
  <c r="BA466" i="8"/>
  <c r="BA458" i="8"/>
  <c r="BA450" i="8"/>
  <c r="BA442" i="8"/>
  <c r="BA434" i="8"/>
  <c r="BA412" i="8"/>
  <c r="BA404" i="8"/>
  <c r="BA396" i="8"/>
  <c r="BA376" i="8"/>
  <c r="BA335" i="8"/>
  <c r="BA327" i="8"/>
  <c r="BA320" i="8"/>
  <c r="BA311" i="8"/>
  <c r="BA295" i="8"/>
  <c r="BA262" i="8"/>
  <c r="BA254" i="8"/>
  <c r="BA117" i="8"/>
  <c r="BA109" i="8"/>
  <c r="BA85" i="8"/>
  <c r="BA69" i="8"/>
  <c r="BA45" i="8"/>
  <c r="BA37" i="8"/>
  <c r="BA413" i="8"/>
  <c r="BA405" i="8"/>
  <c r="BA397" i="8"/>
  <c r="BA377" i="8"/>
  <c r="BA353" i="8"/>
  <c r="BA336" i="8"/>
  <c r="BA328" i="8"/>
  <c r="BA312" i="8"/>
  <c r="BA304" i="8"/>
  <c r="BA245" i="8"/>
  <c r="BA237" i="8"/>
  <c r="BA229" i="8"/>
  <c r="BA221" i="8"/>
  <c r="BA205" i="8"/>
  <c r="BA197" i="8"/>
  <c r="BA190" i="8"/>
  <c r="BA166" i="8"/>
  <c r="BA150" i="8"/>
  <c r="BA142" i="8"/>
  <c r="BA134" i="8"/>
  <c r="BA126" i="8"/>
  <c r="BA481" i="8"/>
  <c r="BA155" i="8"/>
  <c r="BA147" i="8"/>
  <c r="BA139" i="8"/>
  <c r="BA131" i="8"/>
  <c r="BA114" i="8"/>
  <c r="BA74" i="8"/>
  <c r="BA66" i="8"/>
  <c r="BA50" i="8"/>
  <c r="BA42" i="8"/>
  <c r="BA34" i="8"/>
  <c r="BA406" i="8"/>
  <c r="BA398" i="8"/>
  <c r="BA370" i="8"/>
  <c r="BA329" i="8"/>
  <c r="BA313" i="8"/>
  <c r="BA296" i="8"/>
  <c r="BA288" i="8"/>
  <c r="BA280" i="8"/>
  <c r="BA272" i="8"/>
  <c r="BA263" i="8"/>
  <c r="BA255" i="8"/>
  <c r="BA452" i="8"/>
  <c r="BA444" i="8"/>
  <c r="BA436" i="8"/>
  <c r="BA503" i="8"/>
  <c r="BA238" i="8"/>
  <c r="BA230" i="8"/>
  <c r="BA222" i="8"/>
  <c r="BA206" i="8"/>
  <c r="BA191" i="8"/>
  <c r="BA167" i="8"/>
  <c r="BA159" i="8"/>
  <c r="BA151" i="8"/>
  <c r="BA143" i="8"/>
  <c r="BA127" i="8"/>
  <c r="BA482" i="8"/>
  <c r="BA118" i="8"/>
  <c r="BA110" i="8"/>
  <c r="BA86" i="8"/>
  <c r="BA78" i="8"/>
  <c r="BA70" i="8"/>
  <c r="BA54" i="8"/>
  <c r="BA46" i="8"/>
  <c r="BA38" i="8"/>
  <c r="BA291" i="8"/>
  <c r="BA275" i="8"/>
  <c r="BA266" i="8"/>
  <c r="BA333" i="8"/>
  <c r="BA325" i="8"/>
  <c r="BA309" i="8"/>
  <c r="BA301" i="8"/>
  <c r="BA407" i="8"/>
  <c r="BA399" i="8"/>
  <c r="BA371" i="8"/>
  <c r="BA347" i="8"/>
  <c r="BA242" i="8"/>
  <c r="BA226" i="8"/>
  <c r="BA218" i="8"/>
  <c r="BA210" i="8"/>
  <c r="BA195" i="8"/>
  <c r="BA187" i="8"/>
  <c r="BA179" i="8"/>
  <c r="BA171" i="8"/>
  <c r="BA163" i="8"/>
  <c r="BA330" i="8"/>
  <c r="BA322" i="8"/>
  <c r="BA314" i="8"/>
  <c r="BA306" i="8"/>
  <c r="BA289" i="8"/>
  <c r="BA281" i="8"/>
  <c r="BA273" i="8"/>
  <c r="BA264" i="8"/>
  <c r="BA256" i="8"/>
  <c r="BA461" i="8"/>
  <c r="BA453" i="8"/>
  <c r="BA445" i="8"/>
  <c r="BA437" i="8"/>
  <c r="BA421" i="8"/>
  <c r="BA509" i="8"/>
  <c r="BA247" i="8"/>
  <c r="BA239" i="8"/>
  <c r="BA231" i="8"/>
  <c r="BA223" i="8"/>
  <c r="BA215" i="8"/>
  <c r="BA207" i="8"/>
  <c r="BA192" i="8"/>
  <c r="BA184" i="8"/>
  <c r="BA168" i="8"/>
  <c r="BA160" i="8"/>
  <c r="BA152" i="8"/>
  <c r="BA144" i="8"/>
  <c r="BA136" i="8"/>
  <c r="BA128" i="8"/>
  <c r="BA483" i="8"/>
  <c r="BA119" i="8"/>
  <c r="BA111" i="8"/>
  <c r="BA87" i="8"/>
  <c r="BA79" i="8"/>
  <c r="BA71" i="8"/>
  <c r="BA47" i="8"/>
  <c r="BA39" i="8"/>
  <c r="BA410" i="8"/>
  <c r="BA402" i="8"/>
  <c r="BA394" i="8"/>
  <c r="BA374" i="8"/>
  <c r="BA400" i="8"/>
  <c r="BA364" i="8"/>
  <c r="BA28" i="8"/>
  <c r="BA486" i="8"/>
  <c r="BA307" i="8"/>
  <c r="BA323" i="8"/>
  <c r="BA298" i="8"/>
  <c r="BA265" i="8"/>
  <c r="BA257" i="8"/>
  <c r="BA122" i="8"/>
  <c r="BA470" i="8"/>
  <c r="BA462" i="8"/>
  <c r="BA454" i="8"/>
  <c r="BA438" i="8"/>
  <c r="BA422" i="8"/>
  <c r="BA240" i="8"/>
  <c r="BA216" i="8"/>
  <c r="BA208" i="8"/>
  <c r="BA193" i="8"/>
  <c r="BA185" i="8"/>
  <c r="BA169" i="8"/>
  <c r="BA161" i="8"/>
  <c r="BA153" i="8"/>
  <c r="BA145" i="8"/>
  <c r="BA137" i="8"/>
  <c r="BA129" i="8"/>
  <c r="BA484" i="8"/>
  <c r="BA331" i="8"/>
  <c r="BA120" i="8"/>
  <c r="BA88" i="8"/>
  <c r="BA72" i="8"/>
  <c r="BA64" i="8"/>
  <c r="BA48" i="8"/>
  <c r="BA40" i="8"/>
  <c r="BA32" i="8"/>
  <c r="AZ341" i="8"/>
  <c r="BA341" i="8" s="1"/>
  <c r="AZ330" i="8"/>
  <c r="AZ471" i="8"/>
  <c r="AZ340" i="8"/>
  <c r="BA340" i="8" s="1"/>
  <c r="AZ472" i="8"/>
  <c r="BA472" i="8" s="1"/>
  <c r="AZ503" i="8"/>
  <c r="AZ109" i="8"/>
  <c r="AZ117" i="8"/>
  <c r="AZ101" i="8"/>
  <c r="BA101" i="8" s="1"/>
  <c r="AZ93" i="8"/>
  <c r="BA93" i="8" s="1"/>
  <c r="AZ85" i="8"/>
  <c r="AZ77" i="8"/>
  <c r="AZ69" i="8"/>
  <c r="AZ61" i="8"/>
  <c r="AZ53" i="8"/>
  <c r="AZ501" i="8"/>
  <c r="AZ343" i="8"/>
  <c r="AZ45" i="8"/>
  <c r="AZ37" i="8"/>
  <c r="AZ481" i="8"/>
  <c r="AZ408" i="8"/>
  <c r="AZ400" i="8"/>
  <c r="AZ392" i="8"/>
  <c r="AZ372" i="8"/>
  <c r="AZ364" i="8"/>
  <c r="AZ356" i="8"/>
  <c r="BA356" i="8" s="1"/>
  <c r="AZ449" i="8"/>
  <c r="AZ441" i="8"/>
  <c r="BA441" i="8" s="1"/>
  <c r="AZ148" i="8"/>
  <c r="AZ140" i="8"/>
  <c r="AZ132" i="8"/>
  <c r="AZ124" i="8"/>
  <c r="AZ433" i="8"/>
  <c r="AZ465" i="8"/>
  <c r="AZ425" i="8"/>
  <c r="BA425" i="8" s="1"/>
  <c r="AZ317" i="8"/>
  <c r="AZ479" i="8"/>
  <c r="AZ457" i="8"/>
  <c r="AZ417" i="8"/>
  <c r="AZ116" i="8"/>
  <c r="AZ108" i="8"/>
  <c r="AZ100" i="8"/>
  <c r="AZ92" i="8"/>
  <c r="AZ84" i="8"/>
  <c r="AZ76" i="8"/>
  <c r="AZ68" i="8"/>
  <c r="AZ60" i="8"/>
  <c r="AZ52" i="8"/>
  <c r="AZ44" i="8"/>
  <c r="AZ36" i="8"/>
  <c r="AZ27" i="8"/>
  <c r="BA27" i="8" s="1"/>
  <c r="AZ188" i="8"/>
  <c r="AZ180" i="8"/>
  <c r="AZ172" i="8"/>
  <c r="AZ164" i="8"/>
  <c r="AZ156" i="8"/>
  <c r="AZ484" i="8"/>
  <c r="AZ115" i="8"/>
  <c r="AZ107" i="8"/>
  <c r="AZ99" i="8"/>
  <c r="AZ91" i="8"/>
  <c r="BA91" i="8" s="1"/>
  <c r="AZ83" i="8"/>
  <c r="AZ75" i="8"/>
  <c r="AZ67" i="8"/>
  <c r="AZ59" i="8"/>
  <c r="AZ51" i="8"/>
  <c r="AZ43" i="8"/>
  <c r="AZ35" i="8"/>
  <c r="AZ26" i="8"/>
  <c r="AZ244" i="8"/>
  <c r="AZ236" i="8"/>
  <c r="BA236" i="8" s="1"/>
  <c r="AZ228" i="8"/>
  <c r="AZ220" i="8"/>
  <c r="AZ212" i="8"/>
  <c r="AZ204" i="8"/>
  <c r="AZ189" i="8"/>
  <c r="AZ181" i="8"/>
  <c r="AZ173" i="8"/>
  <c r="AZ165" i="8"/>
  <c r="AZ157" i="8"/>
  <c r="AZ149" i="8"/>
  <c r="AZ141" i="8"/>
  <c r="AZ133" i="8"/>
  <c r="AZ125" i="8"/>
  <c r="AZ277" i="8"/>
  <c r="AZ293" i="8"/>
  <c r="AZ260" i="8"/>
  <c r="AZ243" i="8"/>
  <c r="AZ227" i="8"/>
  <c r="AZ196" i="8"/>
  <c r="AZ252" i="8"/>
  <c r="BA252" i="8" s="1"/>
  <c r="AZ211" i="8"/>
  <c r="BA211" i="8" s="1"/>
  <c r="AZ285" i="8"/>
  <c r="AZ203" i="8"/>
  <c r="AZ219" i="8"/>
  <c r="AZ269" i="8"/>
  <c r="AZ348" i="8"/>
  <c r="AZ235" i="8"/>
  <c r="BA235" i="8" s="1"/>
  <c r="AZ411" i="8"/>
  <c r="AZ403" i="8"/>
  <c r="AZ467" i="8"/>
  <c r="AZ459" i="8"/>
  <c r="AZ435" i="8"/>
  <c r="AZ427" i="8"/>
  <c r="AZ419" i="8"/>
  <c r="AZ451" i="8"/>
  <c r="AZ443" i="8"/>
  <c r="AZ221" i="8"/>
  <c r="AZ213" i="8"/>
  <c r="AZ205" i="8"/>
  <c r="AZ197" i="8"/>
  <c r="AZ190" i="8"/>
  <c r="AZ182" i="8"/>
  <c r="AZ174" i="8"/>
  <c r="AZ166" i="8"/>
  <c r="AZ158" i="8"/>
  <c r="AZ150" i="8"/>
  <c r="AZ142" i="8"/>
  <c r="AZ134" i="8"/>
  <c r="AZ126" i="8"/>
  <c r="AZ29" i="8"/>
  <c r="BA29" i="8" s="1"/>
  <c r="AZ482" i="8"/>
  <c r="AZ406" i="8"/>
  <c r="AZ398" i="8"/>
  <c r="AZ378" i="8"/>
  <c r="AZ370" i="8"/>
  <c r="AZ362" i="8"/>
  <c r="BA362" i="8" s="1"/>
  <c r="AZ354" i="8"/>
  <c r="AZ468" i="8"/>
  <c r="AZ460" i="8"/>
  <c r="AZ452" i="8"/>
  <c r="AZ444" i="8"/>
  <c r="AZ436" i="8"/>
  <c r="AZ428" i="8"/>
  <c r="BA428" i="8" s="1"/>
  <c r="AZ420" i="8"/>
  <c r="AZ246" i="8"/>
  <c r="AZ238" i="8"/>
  <c r="AZ230" i="8"/>
  <c r="AZ222" i="8"/>
  <c r="AZ214" i="8"/>
  <c r="BA214" i="8" s="1"/>
  <c r="AZ206" i="8"/>
  <c r="AZ198" i="8"/>
  <c r="AZ191" i="8"/>
  <c r="AZ183" i="8"/>
  <c r="AZ175" i="8"/>
  <c r="AZ167" i="8"/>
  <c r="AZ159" i="8"/>
  <c r="AZ151" i="8"/>
  <c r="AZ143" i="8"/>
  <c r="AZ135" i="8"/>
  <c r="AZ127" i="8"/>
  <c r="AZ30" i="8"/>
  <c r="AZ409" i="8"/>
  <c r="AZ401" i="8"/>
  <c r="AZ393" i="8"/>
  <c r="AZ373" i="8"/>
  <c r="AZ365" i="8"/>
  <c r="AZ357" i="8"/>
  <c r="BA357" i="8" s="1"/>
  <c r="AZ349" i="8"/>
  <c r="AZ395" i="8"/>
  <c r="AZ375" i="8"/>
  <c r="AZ367" i="8"/>
  <c r="BA367" i="8" s="1"/>
  <c r="AZ359" i="8"/>
  <c r="AZ296" i="8"/>
  <c r="AZ288" i="8"/>
  <c r="AZ280" i="8"/>
  <c r="AZ272" i="8"/>
  <c r="AZ263" i="8"/>
  <c r="AZ255" i="8"/>
  <c r="AZ118" i="8"/>
  <c r="AZ110" i="8"/>
  <c r="AZ102" i="8"/>
  <c r="BA102" i="8" s="1"/>
  <c r="AZ94" i="8"/>
  <c r="BA94" i="8" s="1"/>
  <c r="AZ86" i="8"/>
  <c r="AZ78" i="8"/>
  <c r="AZ70" i="8"/>
  <c r="AZ62" i="8"/>
  <c r="AZ54" i="8"/>
  <c r="AZ46" i="8"/>
  <c r="AZ38" i="8"/>
  <c r="AZ462" i="8"/>
  <c r="AZ446" i="8"/>
  <c r="AZ422" i="8"/>
  <c r="AZ298" i="8"/>
  <c r="AZ282" i="8"/>
  <c r="AZ265" i="8"/>
  <c r="AZ454" i="8"/>
  <c r="AZ438" i="8"/>
  <c r="AZ430" i="8"/>
  <c r="AZ290" i="8"/>
  <c r="AZ274" i="8"/>
  <c r="AZ257" i="8"/>
  <c r="AZ345" i="8"/>
  <c r="BA345" i="8" s="1"/>
  <c r="AZ248" i="8"/>
  <c r="AZ240" i="8"/>
  <c r="AZ232" i="8"/>
  <c r="AZ224" i="8"/>
  <c r="AZ216" i="8"/>
  <c r="AZ208" i="8"/>
  <c r="AZ200" i="8"/>
  <c r="AZ193" i="8"/>
  <c r="AZ185" i="8"/>
  <c r="AZ177" i="8"/>
  <c r="AZ169" i="8"/>
  <c r="AZ161" i="8"/>
  <c r="AZ153" i="8"/>
  <c r="AZ145" i="8"/>
  <c r="AZ137" i="8"/>
  <c r="AZ129" i="8"/>
  <c r="AZ475" i="8"/>
  <c r="AZ470" i="8"/>
  <c r="AZ120" i="8"/>
  <c r="AZ112" i="8"/>
  <c r="AZ104" i="8"/>
  <c r="AZ96" i="8"/>
  <c r="BA96" i="8" s="1"/>
  <c r="AZ88" i="8"/>
  <c r="AZ80" i="8"/>
  <c r="AZ72" i="8"/>
  <c r="AZ64" i="8"/>
  <c r="AZ56" i="8"/>
  <c r="BA56" i="8" s="1"/>
  <c r="AZ48" i="8"/>
  <c r="AZ40" i="8"/>
  <c r="AZ486" i="8"/>
  <c r="AZ351" i="8"/>
  <c r="AZ414" i="8"/>
  <c r="AZ346" i="8"/>
  <c r="BA346" i="8" s="1"/>
  <c r="AZ249" i="8"/>
  <c r="AZ241" i="8"/>
  <c r="AZ233" i="8"/>
  <c r="AZ225" i="8"/>
  <c r="AZ217" i="8"/>
  <c r="AZ209" i="8"/>
  <c r="AZ201" i="8"/>
  <c r="AZ194" i="8"/>
  <c r="AZ186" i="8"/>
  <c r="AZ178" i="8"/>
  <c r="AZ170" i="8"/>
  <c r="AZ162" i="8"/>
  <c r="AZ154" i="8"/>
  <c r="AZ146" i="8"/>
  <c r="AZ138" i="8"/>
  <c r="AZ130" i="8"/>
  <c r="AZ315" i="8"/>
  <c r="AZ250" i="8"/>
  <c r="BA250" i="8" s="1"/>
  <c r="AZ333" i="8"/>
  <c r="AZ412" i="8"/>
  <c r="AZ404" i="8"/>
  <c r="AZ396" i="8"/>
  <c r="AZ376" i="8"/>
  <c r="AZ368" i="8"/>
  <c r="AZ360" i="8"/>
  <c r="BA360" i="8" s="1"/>
  <c r="AZ352" i="8"/>
  <c r="BA352" i="8" s="1"/>
  <c r="AZ342" i="8"/>
  <c r="AZ509" i="8"/>
  <c r="AZ456" i="8"/>
  <c r="AZ440" i="8"/>
  <c r="BA440" i="8" s="1"/>
  <c r="AZ424" i="8"/>
  <c r="BA424" i="8" s="1"/>
  <c r="AZ300" i="8"/>
  <c r="AZ284" i="8"/>
  <c r="AZ276" i="8"/>
  <c r="AZ259" i="8"/>
  <c r="AZ251" i="8"/>
  <c r="AZ483" i="8"/>
  <c r="AZ464" i="8"/>
  <c r="AZ448" i="8"/>
  <c r="AZ432" i="8"/>
  <c r="AZ416" i="8"/>
  <c r="AZ292" i="8"/>
  <c r="AZ268" i="8"/>
  <c r="AZ318" i="8"/>
  <c r="AZ463" i="8"/>
  <c r="AZ455" i="8"/>
  <c r="AZ447" i="8"/>
  <c r="AZ439" i="8"/>
  <c r="AZ431" i="8"/>
  <c r="AZ423" i="8"/>
  <c r="BA423" i="8" s="1"/>
  <c r="AZ415" i="8"/>
  <c r="AZ407" i="8"/>
  <c r="AZ399" i="8"/>
  <c r="AZ391" i="8"/>
  <c r="AZ371" i="8"/>
  <c r="AZ363" i="8"/>
  <c r="BA363" i="8" s="1"/>
  <c r="AZ355" i="8"/>
  <c r="AZ347" i="8"/>
  <c r="AZ299" i="8"/>
  <c r="AZ291" i="8"/>
  <c r="AZ283" i="8"/>
  <c r="AZ275" i="8"/>
  <c r="AZ266" i="8"/>
  <c r="AZ258" i="8"/>
  <c r="AZ242" i="8"/>
  <c r="AZ234" i="8"/>
  <c r="BA234" i="8" s="1"/>
  <c r="AZ226" i="8"/>
  <c r="AZ218" i="8"/>
  <c r="AZ210" i="8"/>
  <c r="AZ202" i="8"/>
  <c r="AZ195" i="8"/>
  <c r="AZ187" i="8"/>
  <c r="AZ179" i="8"/>
  <c r="AZ171" i="8"/>
  <c r="AZ163" i="8"/>
  <c r="AZ155" i="8"/>
  <c r="AZ147" i="8"/>
  <c r="AZ139" i="8"/>
  <c r="AZ131" i="8"/>
  <c r="AZ123" i="8"/>
  <c r="AZ114" i="8"/>
  <c r="AZ98" i="8"/>
  <c r="AZ74" i="8"/>
  <c r="AZ50" i="8"/>
  <c r="AZ25" i="8"/>
  <c r="AZ106" i="8"/>
  <c r="BA106" i="8" s="1"/>
  <c r="AZ66" i="8"/>
  <c r="AZ42" i="8"/>
  <c r="AZ316" i="8"/>
  <c r="AZ480" i="8"/>
  <c r="AZ469" i="8"/>
  <c r="BA469" i="8" s="1"/>
  <c r="AZ461" i="8"/>
  <c r="AZ453" i="8"/>
  <c r="AZ445" i="8"/>
  <c r="AZ437" i="8"/>
  <c r="AZ429" i="8"/>
  <c r="BA429" i="8" s="1"/>
  <c r="AZ421" i="8"/>
  <c r="AZ297" i="8"/>
  <c r="BA297" i="8" s="1"/>
  <c r="AZ289" i="8"/>
  <c r="AZ281" i="8"/>
  <c r="AZ273" i="8"/>
  <c r="AZ264" i="8"/>
  <c r="AZ256" i="8"/>
  <c r="AZ121" i="8"/>
  <c r="AZ113" i="8"/>
  <c r="AZ105" i="8"/>
  <c r="BA105" i="8" s="1"/>
  <c r="AZ97" i="8"/>
  <c r="BA97" i="8" s="1"/>
  <c r="AZ89" i="8"/>
  <c r="AZ81" i="8"/>
  <c r="AZ73" i="8"/>
  <c r="AZ65" i="8"/>
  <c r="AZ57" i="8"/>
  <c r="AZ49" i="8"/>
  <c r="AZ41" i="8"/>
  <c r="AZ33" i="8"/>
  <c r="AZ247" i="8"/>
  <c r="AZ239" i="8"/>
  <c r="AZ231" i="8"/>
  <c r="AZ223" i="8"/>
  <c r="AZ215" i="8"/>
  <c r="AZ207" i="8"/>
  <c r="AZ199" i="8"/>
  <c r="AZ192" i="8"/>
  <c r="AZ184" i="8"/>
  <c r="AZ176" i="8"/>
  <c r="AZ168" i="8"/>
  <c r="AZ160" i="8"/>
  <c r="AZ152" i="8"/>
  <c r="AZ144" i="8"/>
  <c r="AZ136" i="8"/>
  <c r="AZ128" i="8"/>
  <c r="AZ31" i="8"/>
  <c r="AZ474" i="8"/>
  <c r="AZ90" i="8"/>
  <c r="BA90" i="8" s="1"/>
  <c r="AZ58" i="8"/>
  <c r="AZ34" i="8"/>
  <c r="AZ111" i="8"/>
  <c r="AZ87" i="8"/>
  <c r="AZ71" i="8"/>
  <c r="AZ55" i="8"/>
  <c r="BA55" i="8" s="1"/>
  <c r="AZ47" i="8"/>
  <c r="AZ82" i="8"/>
  <c r="BA82" i="8" s="1"/>
  <c r="AZ344" i="8"/>
  <c r="BA344" i="8" s="1"/>
  <c r="AZ478" i="8"/>
  <c r="AZ119" i="8"/>
  <c r="AZ103" i="8"/>
  <c r="AZ95" i="8"/>
  <c r="AZ79" i="8"/>
  <c r="AZ63" i="8"/>
  <c r="BA63" i="8" s="1"/>
  <c r="AZ39" i="8"/>
  <c r="AZ485" i="8"/>
  <c r="AZ477" i="8"/>
  <c r="AZ466" i="8"/>
  <c r="AZ458" i="8"/>
  <c r="AZ450" i="8"/>
  <c r="AZ442" i="8"/>
  <c r="AZ434" i="8"/>
  <c r="AZ426" i="8"/>
  <c r="AZ418" i="8"/>
  <c r="BA418" i="8" s="1"/>
  <c r="AZ410" i="8"/>
  <c r="AZ402" i="8"/>
  <c r="AZ394" i="8"/>
  <c r="AZ374" i="8"/>
  <c r="AZ366" i="8"/>
  <c r="BA366" i="8" s="1"/>
  <c r="AZ358" i="8"/>
  <c r="AZ350" i="8"/>
  <c r="AZ294" i="8"/>
  <c r="AZ286" i="8"/>
  <c r="AZ278" i="8"/>
  <c r="AZ270" i="8"/>
  <c r="AZ261" i="8"/>
  <c r="AZ253" i="8"/>
  <c r="AZ245" i="8"/>
  <c r="AZ237" i="8"/>
  <c r="AZ229" i="8"/>
  <c r="AZ413" i="8"/>
  <c r="AZ405" i="8"/>
  <c r="AZ397" i="8"/>
  <c r="AZ377" i="8"/>
  <c r="AZ369" i="8"/>
  <c r="AZ361" i="8"/>
  <c r="BA361" i="8" s="1"/>
  <c r="AZ353" i="8"/>
  <c r="AZ295" i="8"/>
  <c r="AZ287" i="8"/>
  <c r="AZ279" i="8"/>
  <c r="AZ271" i="8"/>
  <c r="AZ262" i="8"/>
  <c r="AZ254" i="8"/>
  <c r="BJ509" i="8"/>
  <c r="BJ347" i="8"/>
  <c r="BJ331" i="8"/>
  <c r="BJ323" i="8"/>
  <c r="BJ307" i="8"/>
  <c r="BJ299" i="8"/>
  <c r="BJ291" i="8"/>
  <c r="BJ275" i="8"/>
  <c r="BJ266" i="8"/>
  <c r="BJ258" i="8"/>
  <c r="BJ171" i="8"/>
  <c r="BJ163" i="8"/>
  <c r="BJ155" i="8"/>
  <c r="BJ147" i="8"/>
  <c r="BJ485" i="8"/>
  <c r="BJ106" i="8"/>
  <c r="BJ98" i="8"/>
  <c r="BJ90" i="8"/>
  <c r="BJ82" i="8"/>
  <c r="BJ74" i="8"/>
  <c r="BJ66" i="8"/>
  <c r="BJ250" i="8"/>
  <c r="BJ242" i="8"/>
  <c r="BJ234" i="8"/>
  <c r="BJ226" i="8"/>
  <c r="BJ218" i="8"/>
  <c r="BJ210" i="8"/>
  <c r="BJ202" i="8"/>
  <c r="BJ195" i="8"/>
  <c r="BJ187" i="8"/>
  <c r="BJ179" i="8"/>
  <c r="BJ433" i="8"/>
  <c r="BJ138" i="8"/>
  <c r="BJ130" i="8"/>
  <c r="BJ469" i="8"/>
  <c r="BJ461" i="8"/>
  <c r="BJ453" i="8"/>
  <c r="BJ375" i="8"/>
  <c r="BJ367" i="8"/>
  <c r="BJ359" i="8"/>
  <c r="BJ351" i="8"/>
  <c r="BJ271" i="8"/>
  <c r="BJ246" i="8"/>
  <c r="BJ238" i="8"/>
  <c r="BJ230" i="8"/>
  <c r="BJ222" i="8"/>
  <c r="BJ214" i="8"/>
  <c r="BJ206" i="8"/>
  <c r="BJ198" i="8"/>
  <c r="BJ191" i="8"/>
  <c r="BJ183" i="8"/>
  <c r="BJ175" i="8"/>
  <c r="BJ167" i="8"/>
  <c r="BJ159" i="8"/>
  <c r="BJ151" i="8"/>
  <c r="BJ143" i="8"/>
  <c r="BJ135" i="8"/>
  <c r="BJ127" i="8"/>
  <c r="BJ111" i="8"/>
  <c r="BJ103" i="8"/>
  <c r="BJ95" i="8"/>
  <c r="BJ87" i="8"/>
  <c r="BJ79" i="8"/>
  <c r="BJ71" i="8"/>
  <c r="BJ63" i="8"/>
  <c r="BJ473" i="8"/>
  <c r="BJ407" i="8"/>
  <c r="BJ399" i="8"/>
  <c r="BJ391" i="8"/>
  <c r="BJ118" i="8"/>
  <c r="BJ110" i="8"/>
  <c r="BJ102" i="8"/>
  <c r="BJ94" i="8"/>
  <c r="BJ86" i="8"/>
  <c r="BJ78" i="8"/>
  <c r="BJ70" i="8"/>
  <c r="BJ62" i="8"/>
  <c r="BJ54" i="8"/>
  <c r="BJ46" i="8"/>
  <c r="BJ38" i="8"/>
  <c r="BJ30" i="8"/>
  <c r="BJ483" i="8"/>
  <c r="BJ472" i="8"/>
  <c r="BJ465" i="8"/>
  <c r="BJ457" i="8"/>
  <c r="BJ449" i="8"/>
  <c r="BJ441" i="8"/>
  <c r="BJ417" i="8"/>
  <c r="BJ475" i="8"/>
  <c r="BJ339" i="8"/>
  <c r="BJ139" i="8"/>
  <c r="BJ131" i="8"/>
  <c r="BJ123" i="8"/>
  <c r="BJ59" i="8"/>
  <c r="BJ51" i="8"/>
  <c r="BJ43" i="8"/>
  <c r="BJ35" i="8"/>
  <c r="BJ27" i="8"/>
  <c r="BJ480" i="8"/>
  <c r="BJ462" i="8"/>
  <c r="BJ343" i="8"/>
  <c r="BJ279" i="8"/>
  <c r="BJ283" i="8"/>
  <c r="BJ119" i="8"/>
  <c r="BJ425" i="8"/>
  <c r="BJ411" i="8"/>
  <c r="BJ403" i="8"/>
  <c r="BJ395" i="8"/>
  <c r="BJ371" i="8"/>
  <c r="BJ363" i="8"/>
  <c r="BJ355" i="8"/>
  <c r="BJ107" i="8"/>
  <c r="BJ99" i="8"/>
  <c r="BJ91" i="8"/>
  <c r="BJ83" i="8"/>
  <c r="BJ75" i="8"/>
  <c r="BJ67" i="8"/>
  <c r="BJ58" i="8"/>
  <c r="BJ50" i="8"/>
  <c r="BJ42" i="8"/>
  <c r="BJ34" i="8"/>
  <c r="BJ26" i="8"/>
  <c r="BJ479" i="8"/>
  <c r="BJ262" i="8"/>
  <c r="BJ254" i="8"/>
  <c r="BJ466" i="8"/>
  <c r="BJ115" i="8"/>
  <c r="BJ378" i="8"/>
  <c r="BJ370" i="8"/>
  <c r="BJ362" i="8"/>
  <c r="BJ354" i="8"/>
  <c r="BJ346" i="8"/>
  <c r="BJ330" i="8"/>
  <c r="BJ322" i="8"/>
  <c r="BJ314" i="8"/>
  <c r="BJ306" i="8"/>
  <c r="BJ298" i="8"/>
  <c r="BJ290" i="8"/>
  <c r="BJ282" i="8"/>
  <c r="BJ274" i="8"/>
  <c r="BJ265" i="8"/>
  <c r="BJ257" i="8"/>
  <c r="BJ249" i="8"/>
  <c r="BJ241" i="8"/>
  <c r="BJ233" i="8"/>
  <c r="BJ225" i="8"/>
  <c r="BJ217" i="8"/>
  <c r="BJ209" i="8"/>
  <c r="BJ201" i="8"/>
  <c r="BJ194" i="8"/>
  <c r="BJ186" i="8"/>
  <c r="BJ178" i="8"/>
  <c r="BJ170" i="8"/>
  <c r="BJ162" i="8"/>
  <c r="BJ154" i="8"/>
  <c r="BJ429" i="8"/>
  <c r="BJ421" i="8"/>
  <c r="BJ410" i="8"/>
  <c r="BJ402" i="8"/>
  <c r="BJ394" i="8"/>
  <c r="BJ287" i="8"/>
  <c r="BJ146" i="8"/>
  <c r="BJ114" i="8"/>
  <c r="BJ445" i="8"/>
  <c r="BJ437" i="8"/>
  <c r="BJ121" i="8"/>
  <c r="BJ113" i="8"/>
  <c r="BJ105" i="8"/>
  <c r="BJ97" i="8"/>
  <c r="BJ89" i="8"/>
  <c r="BJ81" i="8"/>
  <c r="BJ73" i="8"/>
  <c r="BJ65" i="8"/>
  <c r="BJ57" i="8"/>
  <c r="BJ49" i="8"/>
  <c r="BJ41" i="8"/>
  <c r="BJ33" i="8"/>
  <c r="BJ25" i="8"/>
  <c r="BJ478" i="8"/>
  <c r="BJ468" i="8"/>
  <c r="BJ460" i="8"/>
  <c r="BJ452" i="8"/>
  <c r="BJ444" i="8"/>
  <c r="BJ436" i="8"/>
  <c r="BJ428" i="8"/>
  <c r="BJ420" i="8"/>
  <c r="BJ503" i="8"/>
  <c r="BJ335" i="8"/>
  <c r="BJ327" i="8"/>
  <c r="BJ320" i="8"/>
  <c r="BJ311" i="8"/>
  <c r="BJ303" i="8"/>
  <c r="BJ295" i="8"/>
  <c r="BJ55" i="8"/>
  <c r="BJ47" i="8"/>
  <c r="BJ39" i="8"/>
  <c r="BJ31" i="8"/>
  <c r="BJ484" i="8"/>
  <c r="BJ338" i="8"/>
  <c r="BJ374" i="8"/>
  <c r="BJ366" i="8"/>
  <c r="BJ358" i="8"/>
  <c r="BJ350" i="8"/>
  <c r="BJ342" i="8"/>
  <c r="BJ334" i="8"/>
  <c r="BJ326" i="8"/>
  <c r="BJ310" i="8"/>
  <c r="BJ302" i="8"/>
  <c r="BJ294" i="8"/>
  <c r="BJ286" i="8"/>
  <c r="BJ278" i="8"/>
  <c r="BJ270" i="8"/>
  <c r="BJ261" i="8"/>
  <c r="BJ253" i="8"/>
  <c r="BJ245" i="8"/>
  <c r="BJ237" i="8"/>
  <c r="BJ229" i="8"/>
  <c r="BJ221" i="8"/>
  <c r="BJ213" i="8"/>
  <c r="BJ205" i="8"/>
  <c r="BJ197" i="8"/>
  <c r="BJ190" i="8"/>
  <c r="BJ182" i="8"/>
  <c r="BJ174" i="8"/>
  <c r="BJ166" i="8"/>
  <c r="BJ158" i="8"/>
  <c r="BJ150" i="8"/>
  <c r="BJ142" i="8"/>
  <c r="BJ134" i="8"/>
  <c r="BJ126" i="8"/>
  <c r="BJ406" i="8"/>
  <c r="BJ398" i="8"/>
  <c r="BJ117" i="8"/>
  <c r="BJ109" i="8"/>
  <c r="BJ101" i="8"/>
  <c r="BJ93" i="8"/>
  <c r="BJ85" i="8"/>
  <c r="BJ77" i="8"/>
  <c r="BJ69" i="8"/>
  <c r="BJ61" i="8"/>
  <c r="BJ53" i="8"/>
  <c r="BJ45" i="8"/>
  <c r="BJ37" i="8"/>
  <c r="BJ29" i="8"/>
  <c r="BJ482" i="8"/>
  <c r="BJ471" i="8"/>
  <c r="BJ464" i="8"/>
  <c r="BJ456" i="8"/>
  <c r="BJ448" i="8"/>
  <c r="BJ440" i="8"/>
  <c r="BJ432" i="8"/>
  <c r="BJ424" i="8"/>
  <c r="BJ416" i="8"/>
  <c r="BJ474" i="8"/>
  <c r="BJ373" i="8"/>
  <c r="BJ365" i="8"/>
  <c r="BJ357" i="8"/>
  <c r="BJ349" i="8"/>
  <c r="BJ341" i="8"/>
  <c r="BJ333" i="8"/>
  <c r="BJ325" i="8"/>
  <c r="BJ309" i="8"/>
  <c r="BJ301" i="8"/>
  <c r="BJ293" i="8"/>
  <c r="BJ285" i="8"/>
  <c r="BJ277" i="8"/>
  <c r="BJ269" i="8"/>
  <c r="BJ260" i="8"/>
  <c r="BJ252" i="8"/>
  <c r="BJ244" i="8"/>
  <c r="BJ236" i="8"/>
  <c r="BJ228" i="8"/>
  <c r="BJ220" i="8"/>
  <c r="BJ212" i="8"/>
  <c r="BJ204" i="8"/>
  <c r="BJ189" i="8"/>
  <c r="BJ181" i="8"/>
  <c r="BJ173" i="8"/>
  <c r="BJ165" i="8"/>
  <c r="BJ157" i="8"/>
  <c r="BJ149" i="8"/>
  <c r="BJ141" i="8"/>
  <c r="BJ133" i="8"/>
  <c r="BJ125" i="8"/>
  <c r="BJ413" i="8"/>
  <c r="BJ405" i="8"/>
  <c r="BJ397" i="8"/>
  <c r="BJ372" i="8"/>
  <c r="BJ364" i="8"/>
  <c r="BJ356" i="8"/>
  <c r="BJ348" i="8"/>
  <c r="BJ340" i="8"/>
  <c r="BJ332" i="8"/>
  <c r="BJ324" i="8"/>
  <c r="BJ308" i="8"/>
  <c r="BJ300" i="8"/>
  <c r="BJ292" i="8"/>
  <c r="BJ284" i="8"/>
  <c r="BJ276" i="8"/>
  <c r="BJ268" i="8"/>
  <c r="BJ259" i="8"/>
  <c r="BJ251" i="8"/>
  <c r="BJ243" i="8"/>
  <c r="BJ235" i="8"/>
  <c r="BJ227" i="8"/>
  <c r="BJ219" i="8"/>
  <c r="BJ211" i="8"/>
  <c r="BJ203" i="8"/>
  <c r="BJ196" i="8"/>
  <c r="BJ188" i="8"/>
  <c r="BJ180" i="8"/>
  <c r="BJ172" i="8"/>
  <c r="BJ164" i="8"/>
  <c r="BJ156" i="8"/>
  <c r="BJ148" i="8"/>
  <c r="BJ140" i="8"/>
  <c r="BJ132" i="8"/>
  <c r="BJ124" i="8"/>
  <c r="BJ116" i="8"/>
  <c r="BJ108" i="8"/>
  <c r="BJ100" i="8"/>
  <c r="BJ92" i="8"/>
  <c r="BJ84" i="8"/>
  <c r="BJ76" i="8"/>
  <c r="BJ68" i="8"/>
  <c r="BJ60" i="8"/>
  <c r="BJ52" i="8"/>
  <c r="BJ44" i="8"/>
  <c r="BJ36" i="8"/>
  <c r="BJ28" i="8"/>
  <c r="BJ481" i="8"/>
  <c r="BJ470" i="8"/>
  <c r="BJ463" i="8"/>
  <c r="BJ455" i="8"/>
  <c r="BJ447" i="8"/>
  <c r="BJ439" i="8"/>
  <c r="BJ431" i="8"/>
  <c r="BJ423" i="8"/>
  <c r="BJ415" i="8"/>
  <c r="BJ412" i="8"/>
  <c r="BJ404" i="8"/>
  <c r="BJ396" i="8"/>
  <c r="BJ454" i="8"/>
  <c r="BJ446" i="8"/>
  <c r="BJ438" i="8"/>
  <c r="BJ430" i="8"/>
  <c r="BJ422" i="8"/>
  <c r="BJ450" i="8"/>
  <c r="BJ442" i="8"/>
  <c r="BJ434" i="8"/>
  <c r="BJ426" i="8"/>
  <c r="BJ418" i="8"/>
  <c r="BJ409" i="8"/>
  <c r="BJ401" i="8"/>
  <c r="BJ393" i="8"/>
  <c r="BJ377" i="8"/>
  <c r="BJ369" i="8"/>
  <c r="BJ361" i="8"/>
  <c r="BJ353" i="8"/>
  <c r="BJ345" i="8"/>
  <c r="BJ337" i="8"/>
  <c r="BJ329" i="8"/>
  <c r="BJ476" i="8"/>
  <c r="BJ313" i="8"/>
  <c r="BJ305" i="8"/>
  <c r="BJ297" i="8"/>
  <c r="BJ289" i="8"/>
  <c r="BJ281" i="8"/>
  <c r="BJ273" i="8"/>
  <c r="BJ264" i="8"/>
  <c r="BJ256" i="8"/>
  <c r="BJ248" i="8"/>
  <c r="BJ240" i="8"/>
  <c r="BJ232" i="8"/>
  <c r="BJ224" i="8"/>
  <c r="BJ216" i="8"/>
  <c r="BJ208" i="8"/>
  <c r="BJ200" i="8"/>
  <c r="BJ193" i="8"/>
  <c r="BJ185" i="8"/>
  <c r="BJ177" i="8"/>
  <c r="BJ169" i="8"/>
  <c r="BJ161" i="8"/>
  <c r="BJ153" i="8"/>
  <c r="BJ145" i="8"/>
  <c r="BJ137" i="8"/>
  <c r="BJ129" i="8"/>
  <c r="BJ408" i="8"/>
  <c r="BJ400" i="8"/>
  <c r="BJ392" i="8"/>
  <c r="BJ376" i="8"/>
  <c r="BJ368" i="8"/>
  <c r="BJ360" i="8"/>
  <c r="BJ352" i="8"/>
  <c r="BJ344" i="8"/>
  <c r="BJ336" i="8"/>
  <c r="BJ328" i="8"/>
  <c r="BJ312" i="8"/>
  <c r="BJ304" i="8"/>
  <c r="BJ296" i="8"/>
  <c r="BJ288" i="8"/>
  <c r="BJ280" i="8"/>
  <c r="BJ272" i="8"/>
  <c r="BJ263" i="8"/>
  <c r="BJ255" i="8"/>
  <c r="BJ247" i="8"/>
  <c r="BJ239" i="8"/>
  <c r="BJ231" i="8"/>
  <c r="BJ223" i="8"/>
  <c r="BJ215" i="8"/>
  <c r="BJ207" i="8"/>
  <c r="BJ199" i="8"/>
  <c r="BJ192" i="8"/>
  <c r="BJ184" i="8"/>
  <c r="BJ176" i="8"/>
  <c r="BJ168" i="8"/>
  <c r="BJ160" i="8"/>
  <c r="BJ152" i="8"/>
  <c r="BJ144" i="8"/>
  <c r="BJ136" i="8"/>
  <c r="BJ128" i="8"/>
  <c r="BJ120" i="8"/>
  <c r="BJ112" i="8"/>
  <c r="BJ104" i="8"/>
  <c r="BJ96" i="8"/>
  <c r="BJ88" i="8"/>
  <c r="BJ80" i="8"/>
  <c r="BJ72" i="8"/>
  <c r="BJ64" i="8"/>
  <c r="BJ56" i="8"/>
  <c r="BJ48" i="8"/>
  <c r="BJ40" i="8"/>
  <c r="BJ32" i="8"/>
  <c r="BJ414" i="8"/>
  <c r="BJ477" i="8"/>
  <c r="BJ467" i="8"/>
  <c r="BJ459" i="8"/>
  <c r="BJ451" i="8"/>
  <c r="BJ443" i="8"/>
  <c r="BJ435" i="8"/>
  <c r="BJ427" i="8"/>
  <c r="BJ419" i="8"/>
  <c r="BJ458" i="8"/>
  <c r="BJ122" i="8"/>
  <c r="BJ317" i="8"/>
  <c r="BJ501" i="8"/>
  <c r="BJ318" i="8"/>
  <c r="BJ316" i="8"/>
  <c r="BJ315" i="8"/>
  <c r="BJ486" i="8"/>
  <c r="AY24" i="8"/>
  <c r="BN24" i="8" l="1"/>
  <c r="BG24" i="8" l="1"/>
  <c r="BF24" i="8"/>
  <c r="BE24" i="8"/>
  <c r="BD24" i="8"/>
  <c r="BI24" i="8"/>
  <c r="BC24" i="8" l="1"/>
  <c r="AX24" i="8"/>
  <c r="BA24" i="8" s="1"/>
  <c r="BB24" i="8" l="1"/>
  <c r="AW24" i="8" l="1"/>
  <c r="AZ24" i="8" s="1"/>
  <c r="A40" i="6" l="1"/>
  <c r="A42" i="6"/>
  <c r="A80" i="6"/>
  <c r="A94" i="6"/>
  <c r="A116" i="6"/>
  <c r="A128" i="6"/>
  <c r="A153" i="6"/>
  <c r="A155" i="6"/>
  <c r="A157" i="6"/>
  <c r="A162" i="6"/>
  <c r="A164" i="6"/>
  <c r="A169" i="6"/>
  <c r="A174" i="6"/>
  <c r="A175" i="6"/>
  <c r="A176" i="6"/>
  <c r="A207" i="6"/>
  <c r="A209" i="6"/>
  <c r="A213" i="6"/>
  <c r="A215" i="6"/>
  <c r="A226" i="6"/>
  <c r="A259" i="6"/>
  <c r="A260" i="6"/>
  <c r="A262" i="6"/>
  <c r="A271" i="6"/>
  <c r="A287" i="6"/>
  <c r="A352" i="6"/>
  <c r="A370" i="6"/>
  <c r="A372" i="6"/>
  <c r="A377" i="6"/>
  <c r="A445" i="6"/>
  <c r="A447" i="6"/>
  <c r="A512" i="6"/>
  <c r="A518" i="6"/>
  <c r="A536" i="6"/>
  <c r="A542" i="6"/>
  <c r="A547" i="6"/>
  <c r="A549" i="6"/>
  <c r="A551" i="6"/>
  <c r="A553" i="6"/>
  <c r="A558" i="6"/>
  <c r="A596" i="6"/>
  <c r="A597" i="6"/>
  <c r="A601" i="6"/>
  <c r="A617" i="6"/>
  <c r="A645" i="6"/>
  <c r="A646" i="6"/>
  <c r="A707" i="6"/>
  <c r="A710" i="6"/>
  <c r="A711" i="6"/>
  <c r="A734" i="6"/>
  <c r="A740" i="6"/>
  <c r="A742" i="6"/>
  <c r="A744" i="6"/>
  <c r="A787" i="6"/>
  <c r="A799" i="6"/>
  <c r="A804" i="6"/>
  <c r="A806" i="6"/>
  <c r="A808" i="6"/>
  <c r="A812" i="6"/>
  <c r="A816" i="6"/>
  <c r="A913" i="6"/>
  <c r="A914" i="6"/>
  <c r="A915" i="6"/>
  <c r="A917" i="6"/>
  <c r="A918" i="6"/>
  <c r="A920" i="6"/>
  <c r="A938" i="6"/>
  <c r="A943" i="6"/>
  <c r="A949" i="6"/>
  <c r="A951" i="6"/>
  <c r="A956" i="6"/>
  <c r="A961" i="6"/>
  <c r="A1051" i="6"/>
  <c r="A1053" i="6"/>
  <c r="A1063" i="6"/>
  <c r="A1074" i="6"/>
  <c r="A1076" i="6"/>
  <c r="A1089" i="6"/>
  <c r="Y58" i="7"/>
  <c r="Y57" i="7" s="1"/>
  <c r="E37" i="1"/>
  <c r="J14" i="1"/>
  <c r="J13" i="1"/>
  <c r="J12" i="1"/>
  <c r="A32" i="4"/>
  <c r="A34" i="4"/>
  <c r="A87" i="4"/>
  <c r="A109" i="4"/>
  <c r="A122" i="4"/>
  <c r="A149" i="4"/>
  <c r="A151" i="4"/>
  <c r="A153" i="4"/>
  <c r="A158" i="4"/>
  <c r="A160" i="4"/>
  <c r="A165" i="4"/>
  <c r="A170" i="4"/>
  <c r="A171" i="4"/>
  <c r="A172" i="4"/>
  <c r="A206" i="4"/>
  <c r="A208" i="4"/>
  <c r="A212" i="4"/>
  <c r="A214" i="4"/>
  <c r="A225" i="4"/>
  <c r="A259" i="4"/>
  <c r="A260" i="4"/>
  <c r="A262" i="4"/>
  <c r="A355" i="4"/>
  <c r="A373" i="4"/>
  <c r="A375" i="4"/>
  <c r="A380" i="4"/>
  <c r="A448" i="4"/>
  <c r="A450" i="4"/>
  <c r="A517" i="4"/>
  <c r="A524" i="4"/>
  <c r="A543" i="4"/>
  <c r="A551" i="4"/>
  <c r="A556" i="4"/>
  <c r="A558" i="4"/>
  <c r="A560" i="4"/>
  <c r="A562" i="4"/>
  <c r="A567" i="4"/>
  <c r="A605" i="4"/>
  <c r="A606" i="4"/>
  <c r="A610" i="4"/>
  <c r="A658" i="4"/>
  <c r="A659" i="4"/>
  <c r="A720" i="4"/>
  <c r="A723" i="4"/>
  <c r="A724" i="4"/>
  <c r="A765" i="4"/>
  <c r="A808" i="4"/>
  <c r="A820" i="4"/>
  <c r="A825" i="4"/>
  <c r="A827" i="4"/>
  <c r="A829" i="4"/>
  <c r="A833" i="4"/>
  <c r="A837" i="4"/>
  <c r="A933" i="4"/>
  <c r="A934" i="4"/>
  <c r="A935" i="4"/>
  <c r="A937" i="4"/>
  <c r="A938" i="4"/>
  <c r="A940" i="4"/>
  <c r="A965" i="4"/>
  <c r="A971" i="4"/>
  <c r="A973" i="4"/>
  <c r="A978" i="4"/>
  <c r="A983" i="4"/>
  <c r="A1073" i="4"/>
  <c r="A1075" i="4"/>
  <c r="A1085" i="4"/>
  <c r="AB39" i="1" l="1"/>
  <c r="AC38" i="1" s="1"/>
  <c r="Z37" i="1"/>
  <c r="AH14" i="1"/>
  <c r="AI14" i="1" s="1"/>
  <c r="AH13" i="1"/>
  <c r="AH12" i="1"/>
  <c r="V14" i="1"/>
  <c r="W14" i="1" s="1"/>
  <c r="V13" i="1"/>
  <c r="V12" i="1"/>
  <c r="N34" i="1"/>
  <c r="P39" i="1"/>
  <c r="Q38" i="1" s="1"/>
  <c r="A37" i="1"/>
  <c r="C39" i="1"/>
  <c r="D38" i="1" s="1"/>
  <c r="I3" i="1" s="1"/>
  <c r="AG10" i="1" l="1"/>
  <c r="AG3" i="1"/>
  <c r="AH15" i="1"/>
  <c r="V15" i="1"/>
  <c r="U10" i="1"/>
  <c r="U3" i="1"/>
  <c r="I10" i="1"/>
  <c r="J15" i="1"/>
  <c r="AI12" i="1" l="1"/>
  <c r="AI13" i="1"/>
  <c r="W12" i="1"/>
  <c r="W13" i="1"/>
  <c r="K15" i="1"/>
  <c r="AI15" i="1" l="1"/>
  <c r="W15" i="1"/>
  <c r="BJ24" i="8"/>
</calcChain>
</file>

<file path=xl/sharedStrings.xml><?xml version="1.0" encoding="utf-8"?>
<sst xmlns="http://schemas.openxmlformats.org/spreadsheetml/2006/main" count="15473" uniqueCount="2942">
  <si>
    <t>Общий лимит</t>
  </si>
  <si>
    <t>Общее кол-во факций</t>
  </si>
  <si>
    <t>Фракции:</t>
  </si>
  <si>
    <t>Королевство Франция</t>
  </si>
  <si>
    <t>Королевство Португалия</t>
  </si>
  <si>
    <t>Швейцарская конфедерация</t>
  </si>
  <si>
    <t>Мамлюкский султанат</t>
  </si>
  <si>
    <t>Османская империя</t>
  </si>
  <si>
    <t>Королевство Венгрия</t>
  </si>
  <si>
    <t>Королевство Польша</t>
  </si>
  <si>
    <t>Орден Госпитальеров</t>
  </si>
  <si>
    <t>Великое княжество Московское</t>
  </si>
  <si>
    <t>Великое княжество литовское</t>
  </si>
  <si>
    <t>Королевство Швеция</t>
  </si>
  <si>
    <t>Королевство Дания</t>
  </si>
  <si>
    <t>Королевство Англия</t>
  </si>
  <si>
    <t>Папское государство</t>
  </si>
  <si>
    <t>Герцогство Милан</t>
  </si>
  <si>
    <t>Республика Венеция</t>
  </si>
  <si>
    <t>Республика Флоренция</t>
  </si>
  <si>
    <t>Алжир и Тунис</t>
  </si>
  <si>
    <t>Королевство Богемия</t>
  </si>
  <si>
    <t>Крымское ханство</t>
  </si>
  <si>
    <t>Ливонская конфедерация</t>
  </si>
  <si>
    <t>Королевство Шотландия</t>
  </si>
  <si>
    <t>Курфюршество Саксония</t>
  </si>
  <si>
    <t>Маркграфство Бранденбург</t>
  </si>
  <si>
    <t>Герцогство Бавария</t>
  </si>
  <si>
    <t>Швабский союз</t>
  </si>
  <si>
    <t>Эрцгерцогство Австрия (Габсбурги)</t>
  </si>
  <si>
    <t>Войско Запорожское</t>
  </si>
  <si>
    <t>Внефакционные юниты</t>
  </si>
  <si>
    <t>Флот:</t>
  </si>
  <si>
    <t>Галера (фуста)</t>
  </si>
  <si>
    <t>Неф</t>
  </si>
  <si>
    <t>Каракка</t>
  </si>
  <si>
    <t>Галеон</t>
  </si>
  <si>
    <t>швейцарцы</t>
  </si>
  <si>
    <t>ландскнехты</t>
  </si>
  <si>
    <t>шотландцы</t>
  </si>
  <si>
    <t>итальянцы</t>
  </si>
  <si>
    <t>ирландцы</t>
  </si>
  <si>
    <t>исламские пираты</t>
  </si>
  <si>
    <t>кондотьеры</t>
  </si>
  <si>
    <t>степняки и козаки</t>
  </si>
  <si>
    <t>Наемники и повстанцы:</t>
  </si>
  <si>
    <t>балканские наемники</t>
  </si>
  <si>
    <t>Грубый подсчет лимита юнитов на кажду фракцию</t>
  </si>
  <si>
    <t>Объединенное Королевство Испания</t>
  </si>
  <si>
    <t xml:space="preserve">Семнадцать провинций </t>
  </si>
  <si>
    <t>Общий расчет</t>
  </si>
  <si>
    <t>Таким образом при равном распределении юнитов - каждой фракции остается по 13 юнитов</t>
  </si>
  <si>
    <t xml:space="preserve">Гибкий подсчет лимита </t>
  </si>
  <si>
    <t>осн</t>
  </si>
  <si>
    <t>сред</t>
  </si>
  <si>
    <t>слаб</t>
  </si>
  <si>
    <t>итого</t>
  </si>
  <si>
    <r>
      <t xml:space="preserve">На наемников нужно </t>
    </r>
    <r>
      <rPr>
        <b/>
        <sz val="11"/>
        <color rgb="FFFF0000"/>
        <rFont val="Calibri"/>
        <family val="2"/>
        <charset val="204"/>
        <scheme val="minor"/>
      </rPr>
      <t>100</t>
    </r>
    <r>
      <rPr>
        <b/>
        <sz val="11"/>
        <color theme="1"/>
        <rFont val="Calibri"/>
        <family val="2"/>
        <charset val="204"/>
        <scheme val="minor"/>
      </rPr>
      <t xml:space="preserve"> юнитов - как раз для уникальных моделей допельзельднеров кантонов и т.д.</t>
    </r>
  </si>
  <si>
    <t>Т.е. при гибком подсчете лимитов предлагается разделить фракции по силе, где:
- основные получат 27 юнитов
- средние 20 юнитов
- слабые по 10 юнитов
(не забывайте, что громадная часть - это наемники)</t>
  </si>
  <si>
    <t>только 1 половина века</t>
  </si>
  <si>
    <t>Убраны фракции не имеющие ничего в 1 половине века</t>
  </si>
  <si>
    <t>Основным фракциям даем в 2 раза больше юнитов, средним больше в 1,5 раза, слабым урезаем в 1,3 раза</t>
  </si>
  <si>
    <t>Основным фракциям даем в 2 раза больше юнитов, средним больше в 1,5 раза, слабым урезаем в 1,2 раза</t>
  </si>
  <si>
    <t>Т.е. при гибком подсчете лимитов предлагается разделить фракции по силе, где:
- основные получат 30 юнитов
- средние 22 юнитов
- слабые по 11 юнитов
(не забывайте, что громадная часть - это наемники)</t>
  </si>
  <si>
    <t>Обе половины века</t>
  </si>
  <si>
    <t>Т.е. при гибком подсчете лимитов предлагается разделить фракции по силе, где:
- основные получат 14 юнитов
- средние 10 юнитов
- слабые по 5 юнитов
(каждый юнит рразделен на 1 и 2 половину века)</t>
  </si>
  <si>
    <t>И нужно помнить, что жандарм меняется на совершенно другой юнит Кирасира, а средний конник на рейтара - т.е. это не всегда один и тот же юнит</t>
  </si>
  <si>
    <r>
      <t xml:space="preserve">Хэта - </t>
    </r>
    <r>
      <rPr>
        <i/>
        <sz val="11"/>
        <color theme="1"/>
        <rFont val="Calibri"/>
        <family val="2"/>
        <scheme val="minor"/>
      </rPr>
      <t xml:space="preserve">Heath I. </t>
    </r>
    <r>
      <rPr>
        <sz val="11"/>
        <color theme="1"/>
        <rFont val="Calibri"/>
        <family val="2"/>
        <scheme val="minor"/>
      </rPr>
      <t>Armies of the Sixteenth Century, том 1, стр. 127. + Рис. 111, реконструкция жандарма 1540-1550-х гг.</t>
    </r>
  </si>
  <si>
    <t>Ian Heath, Armies of the Sixteenth Century</t>
  </si>
  <si>
    <t>[hr]</t>
  </si>
  <si>
    <t>2. на флот лимит - 4 юнита.</t>
  </si>
  <si>
    <t>3. На Основные фракции лимит - 14 юнитов на 1 половину века и 14 юнитов на 2 половину.</t>
  </si>
  <si>
    <t>4. На Средние фракции лимит - 10 юнитов на 1 половину века и 10 юнитов на 2 половину.</t>
  </si>
  <si>
    <t>5. На Малые фракции лимит - 5 юнитов на 1 половину века и 5 юнитов на 2 половину.</t>
  </si>
  <si>
    <t>8. Добавил юмора (возможно его стоит сделать включаемой/отключаемой опцией в лаунчере).</t>
  </si>
  <si>
    <t>[size="4"][b]Юниты фракций:[/b][/size]</t>
  </si>
  <si>
    <t>--------------------</t>
  </si>
  <si>
    <t>[b]0.1. Флот. 4 юнита[/b]</t>
  </si>
  <si>
    <t>1. Галера (фуста)</t>
  </si>
  <si>
    <t>2. Неф</t>
  </si>
  <si>
    <t>3. Каракка</t>
  </si>
  <si>
    <t>4. Галеон</t>
  </si>
  <si>
    <t>[b]1. Королевство Франция (основная фракция). 29 юнитов[/b]</t>
  </si>
  <si>
    <t>[spoiler]</t>
  </si>
  <si>
    <t>- Откровенно говняная пехота весь 16 век.</t>
  </si>
  <si>
    <t>- Большое количество очень хороших конных аркебузеров во 2 половине века.</t>
  </si>
  <si>
    <t>- Упор на лучшую в мире кавалерию, отличную артиллерию и наемных пехотных швейцарцев (во 2 половине века наемных немецких рейтар).</t>
  </si>
  <si>
    <t>-------------------------</t>
  </si>
  <si>
    <t>[b]Ополчение[/b], рассыпной строй (во 2 половине века ополчение уже не использовали т.к. крестьян закабалили)</t>
  </si>
  <si>
    <t xml:space="preserve">1. ле коммюнольтэ (всякое говно со всяким говном в руках). 1 половина </t>
  </si>
  <si>
    <t>[b]Легкая пехота[/b]</t>
  </si>
  <si>
    <t>2. лез анфан пердю аз епе (пехота без доспехов с двуручными мечами в рассыпном строю). 1 половина</t>
  </si>
  <si>
    <t>3. лез анфан пердю аз епе (пехота без доспехов с двуручными мечами в рассыпном строю). 2 половина</t>
  </si>
  <si>
    <t>4. ле гаскон а пик (легкая пехота гасконцы с пиками с прекрасной моралью). 1 половина</t>
  </si>
  <si>
    <t>[b]Средняя пехота[/b]</t>
  </si>
  <si>
    <t>5. ле Лежьон фронсэс (легионеры с пиками). с 1534 до 1551 г.</t>
  </si>
  <si>
    <t>6. ле режимон д'пье а пик (пехота с пиками). после 1551 г.</t>
  </si>
  <si>
    <t>[b]Тяжелая пехота[/b]</t>
  </si>
  <si>
    <t>7. ле сон-свисс (рота ста швейцарцев с алебардами) (хорошая пехота с алебардами - гвардия). 1 половина</t>
  </si>
  <si>
    <t>8. ле сон-свисс (рота ста швейцарцев с алебардами) Прево (хорошая пехота с алебардами - гвардия). 2 половина</t>
  </si>
  <si>
    <t>[b]Легкая конница[/b]</t>
  </si>
  <si>
    <t>9. ле вьё банд Шево-лежи (легкая конница, оружие разнообразное т.е. можно давать любое). до 1552 г.</t>
  </si>
  <si>
    <t xml:space="preserve">10. ле жантильомм дю руа (французские дворяне с пистолетами и шпагами, в красивых шляпах и без доспехов). с 1552 г. </t>
  </si>
  <si>
    <t>[b]Средняя конница[/b]</t>
  </si>
  <si>
    <t>11. лез арше д'ордононс грон (с копьями и средними доспехами). до 1552 г.</t>
  </si>
  <si>
    <t>12. ле шевальё легер (с копьями). с 1552 г.</t>
  </si>
  <si>
    <t>[b]Тяжелая конница[/b]</t>
  </si>
  <si>
    <t>13. ле жондарм д'ордононс Пикарди (жандармы Пикардии). 1 половина</t>
  </si>
  <si>
    <t>14. ле кираcсье д'ордононс Лангедок (жандармы Лангедока). 2 половина</t>
  </si>
  <si>
    <t>15. ле жондарм д'ордононс Дофинэ (жандармы Дофинэ). 1 половина</t>
  </si>
  <si>
    <t>16. ле кираcсье д'ордононс Овернь (жандармы Оверни). 2 половина</t>
  </si>
  <si>
    <t>17. ле жондарм д'ордононс Шомпань (жандармы Шампани). 1 половина</t>
  </si>
  <si>
    <t>18. ле кираcсье д'ордононс Орлеон (жандармы Орлеана). 2 половина</t>
  </si>
  <si>
    <t>19. ле жондарм д'ордононс Пьемон (жандармы Пьемонта). 1 половина</t>
  </si>
  <si>
    <t>20. ле кираcсье д'ордононс Савой (жандармы Савойи). 2 половина</t>
  </si>
  <si>
    <t>[b]Аркебузеры[/b]</t>
  </si>
  <si>
    <t>21. лез аркебюзье фронсэс (аркебузеры. были либо без доспехов, либо в одном морионе). 1 половина</t>
  </si>
  <si>
    <t>22. лез аркебюзье фронсэс (аркебузеры. были либо без доспехов, либо в одном морионе). 2 половина</t>
  </si>
  <si>
    <t>23. лез аркебюзье а шеваль фронсэс (конные аркебузеры, очень хорошие) с 1552 г.</t>
  </si>
  <si>
    <t>[b]Мушкетеры[/b]</t>
  </si>
  <si>
    <t>24. ле мускетэр лежи (мушкетеры с облегченными мушкетами). года с 76-80</t>
  </si>
  <si>
    <t>[b]Абалетчики[/b]</t>
  </si>
  <si>
    <t>25. ле арбалетрие (пешие арбалетчики). 1 половина</t>
  </si>
  <si>
    <t>26. ле арбалетрие а шеваль (конные арбалетчики). 1 половина</t>
  </si>
  <si>
    <t>[b]Конная гвардия[/b]</t>
  </si>
  <si>
    <t>28. ля птит гар дю руа (тяжелая конница). 2 половина</t>
  </si>
  <si>
    <t>[b]Уникальное[/b]</t>
  </si>
  <si>
    <t>[/spoiler]</t>
  </si>
  <si>
    <t>[b]2. Объединенное Королевство Испания (основная фракция). 28 юнитов[/b]</t>
  </si>
  <si>
    <t>- баланс между пиками,мечниками и стрелками. Соответственно, все среднего качества - выиграть можно только, сочетая рода войск.</t>
  </si>
  <si>
    <t>- средняя тяжелая кавалерия, хорошая легкая</t>
  </si>
  <si>
    <t>[b]Ополчение[/b], рассыпной строй</t>
  </si>
  <si>
    <t>[b]НАЕМНИКИ. 100 юнитов[/b]</t>
  </si>
  <si>
    <t>1. ле Фрон-арше (ополчение, доходяги франк-арчеры со всякой ерундой в руках). До 1535 г.</t>
  </si>
  <si>
    <t>2. ле вьё банд Пикарди (средняя пехота, старая банда Пикардии, пикинеры). до 1551. г.</t>
  </si>
  <si>
    <t>3. ле вьё банд Пьемон (средняя пехота, старая банда Пьемонта, алебардщики). до 1551. г.</t>
  </si>
  <si>
    <t>4. ле жондарм д'пье (тяжелая пехота, спешенные жандармы и пешие латники с кавалерийскими копьями, полаксами, альшписами, эспантонами, двуручными мечами, клевцами, булавами). 1 половина</t>
  </si>
  <si>
    <t>5. лез анфан пердю аркебюз (аркебузеры в средних и тяжелых доспехах). 2 половина</t>
  </si>
  <si>
    <t>[color="#FF0000"][b]6. С пушками и генералами хрен его знает, что делать, не понимаю как их распределить по фракциям.[/b][/color]</t>
  </si>
  <si>
    <t>- отличительная особенность: [b]отмороженная мораль пехоты[/b]</t>
  </si>
  <si>
    <t xml:space="preserve">1. Бандидос. (Ополченцы, охочие люди с ножиками, косами, дубинками и прочим крестьянским инвентарем. Одеты в крестьян и подонков=). 1 половина  </t>
  </si>
  <si>
    <t xml:space="preserve">2. Бандидос. (Ополченцы, охочие люди с ножиками, косами, дубинками и прочим крестьянским инвентарем. Одеты в крестьян и подонков=). 2 половина </t>
  </si>
  <si>
    <t>3. Пика сека дель Коронейя (пикинеры без доспехов). 1 половина</t>
  </si>
  <si>
    <t>4. Пика сека дель Терсио (пикинеры без доспехов). 2 половина</t>
  </si>
  <si>
    <t>5. Лос роделерос дель Терсио вьехо (мечники со щитами). 1 половина</t>
  </si>
  <si>
    <t>8. Лос гранадерос дель Терсио де Армада (морская пехота с гранатами). 2 половина</t>
  </si>
  <si>
    <t>9. Лос омбрес де арма дезмонтадо (спешеные рыцари с кавалерийскими копьями). 1 половина</t>
  </si>
  <si>
    <t>10. Лос алабардерос дель Коронейя (алебардеры в доспехах). 1 половина</t>
  </si>
  <si>
    <t>11. Лос пикерос дель Терсио нуево (пикинеры в доспехах). 2 половина</t>
  </si>
  <si>
    <t>12. Лос хинетос (хинеты). 1 половина</t>
  </si>
  <si>
    <t>13. Лос кавайос лихеро (легкая конница). 2 половина</t>
  </si>
  <si>
    <t>14. Лос кавальерос де Каталунья (рыцари). 1 половина</t>
  </si>
  <si>
    <t>15. Лос кавальерос де Гранада (рыцари). 2 половина</t>
  </si>
  <si>
    <t>16. Лос эскопетерос (очень слабый огнестрел). 1 половина</t>
  </si>
  <si>
    <t>17. Лос аркабусерос (аркебузеры). 1 половина</t>
  </si>
  <si>
    <t>18. Лос аркабусерос дель Терсио (аркебузеры). 2 половина</t>
  </si>
  <si>
    <t xml:space="preserve">19. Лос аркабусерос кавайо (конные аркебузеры). 2 половина </t>
  </si>
  <si>
    <t>20. Лос москетерос дель Терсио вьехо (мушкетеры). с 1520 г. до середины века</t>
  </si>
  <si>
    <t>21. Лос москетерос дель Терсио нуево (мушкетеры). 2 половина</t>
  </si>
  <si>
    <t>[b]Арбалетчики[/b]</t>
  </si>
  <si>
    <t>22. Лос хинетос гуардиа дель рей (латные хинеты, гвардия). 1 половина</t>
  </si>
  <si>
    <t>23. Лос омбрес де арма де Кастийа (конные латники, гваридия). 1 половина</t>
  </si>
  <si>
    <t>24. Эль корте дель рей (конные латники, гвардия). 2 половина</t>
  </si>
  <si>
    <t>25. Эль карррро де герра аркабус (боевая повозки с аркебузерами)</t>
  </si>
  <si>
    <t>[b]Южная Fвропа[/b]</t>
  </si>
  <si>
    <t>26. Эль карро де герра москет (боевая повозки с полвыми орудиями на них). с 1520 г.</t>
  </si>
  <si>
    <t>27. Лос омбрес де арма Сантьяго (конные латники рыцарского ордена). 1 половина</t>
  </si>
  <si>
    <t>28. Лос омбрес де арма Алькантара (конные латники рыцарского ордена). 2 половина</t>
  </si>
  <si>
    <t>- Фишка Португалии - зверские мечники со щитами, все сплошь дворяне (Фидалгу).</t>
  </si>
  <si>
    <t>1. Лансадус (злодеи). 1 половина века</t>
  </si>
  <si>
    <t>2. Дегредадус (сволочи). 2 половина века</t>
  </si>
  <si>
    <t>3. Фронтеирус (гарнизонные войска). 1 половина века</t>
  </si>
  <si>
    <t>4. Лансейрус (пикинеры). 2 половина века</t>
  </si>
  <si>
    <t>5. Фидалгу (дворяне с мечами, щитами [b]и гранатами[/b], очень зверские). 1 половина</t>
  </si>
  <si>
    <t>6. Фидалгу (дворяне с мечами, щитами [b]и гранатами[/b], еще более зверские). 2 половина</t>
  </si>
  <si>
    <t xml:space="preserve">7. Фидалгу жи колубретас (стрелки с ружьями). 1 половина </t>
  </si>
  <si>
    <t xml:space="preserve">8. Фидалгу жи аркабус (стрелки с ружьями). 1 половина </t>
  </si>
  <si>
    <t>9. Нобрез эквестрис (конная гвардия). 1 половина</t>
  </si>
  <si>
    <t>10. Корче ду рей (конная гвардия). 2 половина</t>
  </si>
  <si>
    <t>6. Бенде бьянке (белые повязки, итальянские аркебузеры). 1 половина</t>
  </si>
  <si>
    <t>[b]4. Швейцарская конфедерация (основная фракция). 27 юнитов[/b]</t>
  </si>
  <si>
    <t>- жесткие лимиты на конницу, арбалеты и особенно на аркебузиров</t>
  </si>
  <si>
    <t>- высокие, но не жесткие лимиты на тяжелые пехотные отряды</t>
  </si>
  <si>
    <t>- [b]повышенная скорость движения пехоты[/b]</t>
  </si>
  <si>
    <t>- Из второй половины 16 века - все то же самое, только увеличенный размер отряда, в минус арбалетчики, и немного ниже характеристики атаки у пехоты</t>
  </si>
  <si>
    <t>------отсутствует, лохам здесь не место</t>
  </si>
  <si>
    <t>1. дер Югенд мит шписе (швейцарская молодежь с пиками). 1 половина</t>
  </si>
  <si>
    <t>2. дер Югенд мит шписе (швейцарская молодежь с пиками). 2 половина</t>
  </si>
  <si>
    <t>3. дер Югенд мит хеллебардн (швейцарская молодежь с алебардами). 1 половина</t>
  </si>
  <si>
    <t>4. дер Югенд мит хеллебардн (швейцарская молодежь с алебардами). 2 половина</t>
  </si>
  <si>
    <t>5. Райслёйфа мит шписе аус Цуг (швейцарцы пикинеры из Цуга). 1 половина</t>
  </si>
  <si>
    <t>6. Райслёйфа мит шписе аус Цуг (швейцарцы пикинеры из Цуга). 2 половина</t>
  </si>
  <si>
    <t>7. Райслёйфа мит хеллебардн аус Берн (швейцарцы алебардеры из Берна). 1 половина</t>
  </si>
  <si>
    <t>8. Райслёйфа мит хеллебардн аус Берн (швейцарцы алебардеры из Берна). 2 половина</t>
  </si>
  <si>
    <t>9. Райслёйфа мит шписе аус Ури (швейцарцы пикинеры из Ури). 1 половина</t>
  </si>
  <si>
    <t>10. Райслёйфа мит шписе аус Ури (швейцарцы пикинеры из Ури). 2 половина</t>
  </si>
  <si>
    <t>11. Райслёйфа мит хеллебардн аус Унтервальден (швейцарцы алебардеры из Унтервальдена). 1 половина</t>
  </si>
  <si>
    <t>12. Райслёйфа мит хеллебардн аус Унтервальден (швейцарцы алебардеры из Унтервальдена). 2 половина</t>
  </si>
  <si>
    <t>13. Доппельзёльдна мит хеллебардн аус Цуг (швейцарцы алебардеры из Цуга). 1 половина</t>
  </si>
  <si>
    <t>14. Доппельзёльдна мит хеллебардн аус Цуг (швейцарцы алебардеры из Цуга). 2 половина</t>
  </si>
  <si>
    <t>15. Доппельзёльдна мит шписе аус Берн (швейцарцы пикинеры из Берна). 1 половина</t>
  </si>
  <si>
    <t>16. Доппельзёльдна мит шписе аус Берн (швейцарцы пикинеры из Берна). 2 половина</t>
  </si>
  <si>
    <t>17. Доппельзёльдна мит хеллебардн аус Ури (швейцарцы алебардеры из Ури). 1 половина</t>
  </si>
  <si>
    <t>18. Доппельзёльдна мит хеллебардн аус Ури (швейцарцы алебардеры из Уи). 2 половина</t>
  </si>
  <si>
    <t>19. Доппельзёльдна мит шписе аус Унтервальден (швейцарцы пикинеры из Унтервальдена). 1 половина</t>
  </si>
  <si>
    <t>20. Доппельзёльдна мит шписе аус Унтервальден (швейцарцы пикинеры из Унтервальдена). 2 половина</t>
  </si>
  <si>
    <t>23. дер Югенд мит хакенбюксе (швейцарская молодежь с ружьями). 1 половина</t>
  </si>
  <si>
    <t>8. Райслёйфа мит шписе аус Нидвальден (швейцарцы пикинеры из Нидвальдена). 1 половина</t>
  </si>
  <si>
    <t>9. Райслёйфа мит шписе аус Нидвальден (швейцарцы пикинеры из Нидвальдена). 2 половина</t>
  </si>
  <si>
    <t>10. Райслёйфа мит халлебардн аус Швиц (швейцарцы алебардисты из Швица). 1 половина</t>
  </si>
  <si>
    <t>11. Райслёйфа мит халлебардн аус Швиц (швейцарцы алебардисты из Швица). 2 половина</t>
  </si>
  <si>
    <t>12. Райслёйфа мит цвайхэнда аус Золотурн Доппельзёльдна (швейцарцы двуручники из Золотурна). 1 половина</t>
  </si>
  <si>
    <t>13. Райслёйфа мит цвайхэнда аус Золотурн Доппельзёльдна (швейцарцы двуручники из Золотурна). 2 половина</t>
  </si>
  <si>
    <t>14. Райслёйфа мит халлебардн аус Цюрих Доппельзёльдна (швейцарцы алебардисты из Цюриха). 1 половина</t>
  </si>
  <si>
    <t>15. Райслёйфа мит шписе аус Цюрих Доппельзёльдна (швейцарцы пикинеры из Цюриха). 2 половина</t>
  </si>
  <si>
    <t>24. Швайца ритта трабант (конный рыцарь) 1 половина</t>
  </si>
  <si>
    <t>25. Швайца ритта трабант (конный рыцарь) 2 половина</t>
  </si>
  <si>
    <t>26. Швертмайста трабант (пешие двуручники). 1 половина</t>
  </si>
  <si>
    <t>27. Швертмайста трабант (пешиу двуручники). 2 половина</t>
  </si>
  <si>
    <t>7. Магрибские пешие аркебузеры. 1 и 2 половина</t>
  </si>
  <si>
    <t xml:space="preserve">8. Туркменские пешие аркебузеры. 1 и 2 половина </t>
  </si>
  <si>
    <t>10. Замбураки (верблюды с легким орудием на спине). 1 и 2 половина</t>
  </si>
  <si>
    <t>[b]6. Османская империя (основная фракция). 28 юнитов[/b]</t>
  </si>
  <si>
    <t xml:space="preserve"> </t>
  </si>
  <si>
    <t>- Турки должны быть очень о[b]чень яркими и цветастыми[/b]</t>
  </si>
  <si>
    <t>- Крайне небольшой корпус янычар, но зато они одни из сильнейших юнитов эпохи.</t>
  </si>
  <si>
    <t>- Турки - это массы, полчища, огромное количество людей в армиях. На старте очередного похода султан умудрялся собирать 100 т.ч.</t>
  </si>
  <si>
    <t>1. Лайялар (религиозные фанатики в тряпках и с мечами). Должны быть в рассыпном строю. 1 половина</t>
  </si>
  <si>
    <t>2. Азапи (азапы с пиками). Должны быть в рассыпном строю. 2 половина</t>
  </si>
  <si>
    <t>3. ЯЯ Анадолу (с копьями). 1 половина</t>
  </si>
  <si>
    <t>4. ЯЯ Румели (с копьями). 2 половина</t>
  </si>
  <si>
    <t>5. Джебе тимар юрюерек (спешенные всадники, длинные копья, сабли, щиты). 1 половина</t>
  </si>
  <si>
    <t>6. Джебе тимар юрюерек (спешенные всадники, длинные копья, сабли, щиты). 2 половина</t>
  </si>
  <si>
    <t>7. Ени чери тебар (янычары с секирами/алебардами). 1 половина</t>
  </si>
  <si>
    <t xml:space="preserve">9. Ени чери тебар (янычары с секирами/алебардами). 2 половина </t>
  </si>
  <si>
    <t>10. Бурюме сипахи тимар юрюерек (спешенные сипахи, длинные копья, сабли, щиты). 1 половина</t>
  </si>
  <si>
    <t>11. Бурюме сипахи тимар юрюерек (спешенные сипахи, длинные копья, сабли, щиты). 1 половина</t>
  </si>
  <si>
    <t>12. Акинджи (легкая конница, лук, сабля, щит). 1 половина</t>
  </si>
  <si>
    <t>13. Акинджи (легкая конница, лук, сабля, щит). 2 половина</t>
  </si>
  <si>
    <t>14. Бурюме тимар Анадолу (всадники, длинные копья, сабли, щиты). 1 половина</t>
  </si>
  <si>
    <t>15. Джебе тимар Анадолу (всадники, аркебузы, сабли, щиты). 2 половина</t>
  </si>
  <si>
    <t>16. Геджим сипахи тимар Румели (всадники, длинные копья, сабли, щиты). 1 половина</t>
  </si>
  <si>
    <t>17. Геджим сипахи тимар Румели (всадники, длинные копья, сабли, щиты). 2 половина</t>
  </si>
  <si>
    <t xml:space="preserve">18. азапи-тюфенкчи (говным гавно). 2 половина </t>
  </si>
  <si>
    <t>19. Ени чери-тюфенкчи (мушкетеры-янычары, характеристики турецкого мушкета ровно посередине между европейской аркебузой и европейским мушкетом). 1 половина</t>
  </si>
  <si>
    <t>20. Ени чери-тюфенкчи (мушкетеры-янычары, характеристики турецкого мушкета ровно посередине между европейской аркебузой и европейским мушкетом). 2 половина</t>
  </si>
  <si>
    <t>21. Ени чери-татар яйи (пешие арбалетчики). 1 половина</t>
  </si>
  <si>
    <t>[b]Лучники[/b]</t>
  </si>
  <si>
    <t>22. Ени чери солаки (средняя пехота с луками). 1 половина</t>
  </si>
  <si>
    <t>23. солаки тимар юрюррек (легкая пехота-лучники). 1 половина</t>
  </si>
  <si>
    <t>24. азапи солаки (говным гавно). 1 половина</t>
  </si>
  <si>
    <t>[b]гвардия[/b]</t>
  </si>
  <si>
    <t>25. ясакчи. (пешые янычари, несущие службу во двоце. Можно забронировать по самые пятки). 1 половина</t>
  </si>
  <si>
    <t>26. ясакчи. (пешые янычари, несущие службу во двоце. Можно забронировать по самые пятки). 2 половина</t>
  </si>
  <si>
    <t>27. гуреба-и йемин (конная гвардия Султана). 1 половина</t>
  </si>
  <si>
    <t>28. гуреба-и йесар (конная гвардия Султана). 2 половина</t>
  </si>
  <si>
    <t>[b]в лимиты не вошла конная гвардия: силадар, улуфели, улуфели-и [/b]</t>
  </si>
  <si>
    <t>[b]Юго-восточная Европа[/b]</t>
  </si>
  <si>
    <t>[b]Восточная и Юго-восточная Еврропа[/b]</t>
  </si>
  <si>
    <t>[b]7. Королевство Венгрия (средняя фракция). 20 юнитов[/b]</t>
  </si>
  <si>
    <t xml:space="preserve">- </t>
  </si>
  <si>
    <t>[b]8. Королевство Польша (средняя фракция). 20 юнитов[/b]</t>
  </si>
  <si>
    <t>- отличная конница, ее много разной</t>
  </si>
  <si>
    <t>- пехота слабая и некачественная, ее мало.</t>
  </si>
  <si>
    <t>- [b]польского не знаю вообще языка[/b]</t>
  </si>
  <si>
    <t>1. Милициа миейска (ополчение с арбалетами). 1 половина</t>
  </si>
  <si>
    <t>2. Милициа миейска (ополчение с аркебузами). с 1576 г.</t>
  </si>
  <si>
    <t>3. Драбы с вужнями (драбы с копьями и павезами). 1 половина</t>
  </si>
  <si>
    <t xml:space="preserve">4. Пехота выбранецька с вужнями (пехота с копьями). с 1576 г. </t>
  </si>
  <si>
    <t>5. Драбы с халабардами (драбы с алебардами). 1 половина</t>
  </si>
  <si>
    <t>6. Пехота выбранецька с халабардами (пехота с алебардами). с 1576 г.</t>
  </si>
  <si>
    <t>7. Лекки хусария (легкие гусары). 1 половина</t>
  </si>
  <si>
    <t>8. Кашубы (легкая конница, легкое копье). 1 половина</t>
  </si>
  <si>
    <t>9. Добры боярув (Путные бояе с луком). 1 половина</t>
  </si>
  <si>
    <t>10. Конны аркабузъеры (конные аркебузеры). с 1576 г.</t>
  </si>
  <si>
    <t>11. Боярув панцерных (панцерные бояре с луком). 1 половина</t>
  </si>
  <si>
    <t>12. Хусария (гусары в кольчуге с копьем и тарчем). 1 половина</t>
  </si>
  <si>
    <t>14. Козацы панцерни (панцерные казаки). с 1576 г.</t>
  </si>
  <si>
    <t>15. Скшидлате хусария (крылатые гусары). с 1576 г.</t>
  </si>
  <si>
    <t>16. Паны Хоруговные (тяжелые латники). 1 половина</t>
  </si>
  <si>
    <t>17. Драбы с рушницами (пехота с аркебузами). 1 половина</t>
  </si>
  <si>
    <t>18. Пехота выбранецька с аркебузем (пехота с аркебузами). с 1576 г.</t>
  </si>
  <si>
    <t>19. Двур крулевски (королевская гвардия). 1 половина</t>
  </si>
  <si>
    <t>20. Двур крулевски (королевская гвардия). с 1576 г.</t>
  </si>
  <si>
    <t>[b]ФЕЛЬДИПЕРДОЗ (отключаемые юниты). Лимит - на сколько хватит[/b]</t>
  </si>
  <si>
    <t>1. Боевой гопак (танцующие казаки). 1 и 2 половина</t>
  </si>
  <si>
    <t>2. Хюренвайбель (немецкие шлюхи наемницы). 1 и 2 половина</t>
  </si>
  <si>
    <t>3. Оселоти (воины-ягуары ацтеков). 1 и 2 половина</t>
  </si>
  <si>
    <t>4. Куавтли (воины-орлы ацтеков). 1 и 2 половина</t>
  </si>
  <si>
    <t>9. Онис беллатор (огнеметчики). 1 половина</t>
  </si>
  <si>
    <t>10. Онис беллатор (огнеметчики). 2 половина</t>
  </si>
  <si>
    <t>[b]10. Великое княжество Московское (средняя фракция). 20 юнитов[/b]</t>
  </si>
  <si>
    <t>- Основа войск - поместная конница, соответственно пешие юниты это просто соответствующие спешенные всадники.</t>
  </si>
  <si>
    <t>- во 2 половине появляются профессиональная пехота - стрельцы.</t>
  </si>
  <si>
    <t>1. жильцы( тяжелые пешие копейщики). 1 половина</t>
  </si>
  <si>
    <t>2. Мелкопоместные дворяне (наиболее бедная часть поместной конницы. Основное вооружение - лук, дополнительное - сабля, шестопер). 1 половина</t>
  </si>
  <si>
    <t>3. Боевые холопы(легкая конница с луком). 1 половина</t>
  </si>
  <si>
    <t>4. Послужильцы (дополнительные" воины выставлявшиеся помещиками на службу вместе с собой. Вооружены аналогично мелкопоместным дворянам). 1 половина</t>
  </si>
  <si>
    <t>5. Служилые татары Касимова (лук, сабля). 1 половина</t>
  </si>
  <si>
    <t>6. Станичные конные козаки (лук, сабля). 1 половина</t>
  </si>
  <si>
    <t>7. Служилые дворяне (лук, дополнительное - сабли, одноручные топорики). 1 половина</t>
  </si>
  <si>
    <t>8. Выборная рать (отборные всадники, вооружены луками, второе оружие - сабли, шестоперы). 1 половина века</t>
  </si>
  <si>
    <t>9. Дети боярские (Первое оружие - копье, второе оружие - одноручная секира, сабля). 1 половина века</t>
  </si>
  <si>
    <t>10. Пищальники (стрелки). 1 половина</t>
  </si>
  <si>
    <t>11. Стрельцы (стрелки). с 1550 г</t>
  </si>
  <si>
    <t>12. Стрельцы городовые (огнестрельная пехота, ружье, для ближнего боя - топорики, сабли, короткие копья (рогатины). с 1550 г.</t>
  </si>
  <si>
    <t>13. Пищальные дети боярские(конные огнестрелы). 2 половина</t>
  </si>
  <si>
    <t>14. Станичные конные козаки (ружье, сабля). 2 половина</t>
  </si>
  <si>
    <t>15. Пешие ратники (лук, копье). 1 половина</t>
  </si>
  <si>
    <t>16. Пешие городовые козаки (с луком). 1 половина</t>
  </si>
  <si>
    <t xml:space="preserve">[b]12. Королевство Швеция (средняя фракция). 20 юнитов[/b] </t>
  </si>
  <si>
    <t>- до 1563 были только ополчение и наемники</t>
  </si>
  <si>
    <t>- после 1563 крепкая национальная армия</t>
  </si>
  <si>
    <t>1. Милис бёндер (крестьяне с арбалетами). 1 половина века</t>
  </si>
  <si>
    <t>2. Милис стадсбор (горожане с алебардами). 1 половина века</t>
  </si>
  <si>
    <t>3. Хэппсрегементет (корабельный полк, видимо с алебардами). с 1563 г.</t>
  </si>
  <si>
    <t>4. Фяника индельта Вестергётланд (с пиками). с 1563 г.</t>
  </si>
  <si>
    <t>5. Фяника индельта Уппланд (с мечами и щитами). с 1563 г.</t>
  </si>
  <si>
    <t>6. Фяника индельта Смоланд (с алебардами). с 1563 г.</t>
  </si>
  <si>
    <t>7. Гордсфяника (пешая гвардия с пиками). с 1563 г.</t>
  </si>
  <si>
    <t xml:space="preserve">8. Хэппсрегементет рондаш (корабельный полк, с мечами и щитами). с 1563 г. </t>
  </si>
  <si>
    <t>9. Адельсфана (ополчение знати). 1 половина века</t>
  </si>
  <si>
    <t>10. Адельсфана Вестергётланд. с 1563 г.</t>
  </si>
  <si>
    <t>11. Адельсфана Эстергётланд. с 1563 г.</t>
  </si>
  <si>
    <t>12. Адельсфана Кальмар. с 1563 г.</t>
  </si>
  <si>
    <t>13. Фяника бёссер индельта Курунберг (короткая аркебуза). с 1563 г.</t>
  </si>
  <si>
    <t>14. Фяника рор индельта Упланд. с 1563 г.</t>
  </si>
  <si>
    <t xml:space="preserve">15. Хакехиттар индельта (легкие мушкеты). с 1563 г. </t>
  </si>
  <si>
    <t>16. Ховфана (собственный полк короля, копья). с 1563 г.</t>
  </si>
  <si>
    <t>17. Бланка риттарна (белые рейтары, тяжелая конница, копья). с 1563 г.</t>
  </si>
  <si>
    <t>18. Сварта риттарна (черные рейтары, тяжелая конница, пистолеты). с 1563 г.</t>
  </si>
  <si>
    <t>- Очень, очень богатый город Копенгаген. Один из тех немногих городов на карте, которые должны давать огромные доходы за обладание ими. Причина богатства - зундские пошлины.</t>
  </si>
  <si>
    <t>- Ваще нихрена нет собственных войск. Датская армия - на 90% процентов состояла из наемников. Т.е. имеет смысл сделать отыгрыш фракции от наемников - дать им меньшую цену найма и содержания или еще как. Задача Дании - рыскать по карте и скупать всех наемн</t>
  </si>
  <si>
    <t>1. Упбод (крестьянское ополчение). 1 половина</t>
  </si>
  <si>
    <t>2. Упбод (крестьянское ополчение). 2 половина</t>
  </si>
  <si>
    <t>3. Флодсельскэб (корабельная рота). 1 половина</t>
  </si>
  <si>
    <t>3. Флодсельскэб (корабельная рота). 2 половина</t>
  </si>
  <si>
    <t>3. Флодсельскэб пэнсрат (тяжелая корабельная рота). 1 половина</t>
  </si>
  <si>
    <t>4. Флодсельскэб пэнсрат (тяжелая корабельная рота). 2 половина</t>
  </si>
  <si>
    <t>7. Консхоф (конная гвардия короля). 1 половина</t>
  </si>
  <si>
    <t>8. Консхоф (конная гвардия короля). 2 половина</t>
  </si>
  <si>
    <t>5. Элсхуттари (конное ополчение дворян). 1 половина</t>
  </si>
  <si>
    <t>6. Элсхуттари (конное ополчение дворян). 2 половина</t>
  </si>
  <si>
    <t xml:space="preserve">[b]14. Семнадцать провинций (Бургундия и Нидерланды)(средняя фракция). 20 юнитов[/b]. </t>
  </si>
  <si>
    <t>- в 1 половине нет никаких войск кроме бургундских жандармов и городского ополчения</t>
  </si>
  <si>
    <t>- во 2 половине одна из лучших армий своего времени</t>
  </si>
  <si>
    <t>1. Стадсмилици (городское оплочение). 1 половина</t>
  </si>
  <si>
    <t>2. Бурхундисе хендарме (бургундские жандармы). 1 половина</t>
  </si>
  <si>
    <t>3. Бурхундисе кюрассиерс (бургундские кирасиры). 2 половина</t>
  </si>
  <si>
    <t xml:space="preserve">[b]5. Королевство Англия (основная фракция). 28 юнитов[/b]. </t>
  </si>
  <si>
    <t>- Весь 16 век англичане держат значительные отряды пеших лучников</t>
  </si>
  <si>
    <t>- Пики появляются в массе ко 2 половине 16 века.</t>
  </si>
  <si>
    <t>- Упор на пеших биллменов (билл - разновидность алебарды), лучников и чарджи конницы. Т.е. балансовая фракция</t>
  </si>
  <si>
    <t>- ОЧЕНЬ ВАЖНО!! в 1 половине века у англичан хорошая народная пехота. Во 2 - полное гавно, полное - берут массой, мораль ни к черту, воевать не умеют, только знать, наемники и стрелки что-то могут</t>
  </si>
  <si>
    <t>1. Бордер свордс трупс (пограничные парни со щитом (баклер) и мечом). 1 половина</t>
  </si>
  <si>
    <t>2. Роад робберс (пешие разбойники с короткими пистолетами). 2 половина</t>
  </si>
  <si>
    <t>3. Маринс реджимент (морская пехота с полупиками). 1 половина</t>
  </si>
  <si>
    <t>4. Каунти йомен билл (чуваки графств с биллами). 1 половина</t>
  </si>
  <si>
    <t>5. Йомен Йорк билл (с биллами). 1 половина</t>
  </si>
  <si>
    <t>6. Йомен Ковентри билл (с биллами). 1 половина</t>
  </si>
  <si>
    <t xml:space="preserve">7. Трейнед бэндс пайкс (с пиками - заменяют йоменов с биллами). с 1570 г. </t>
  </si>
  <si>
    <t>8. Милиша Ландн билл (с биллами). 1 половина</t>
  </si>
  <si>
    <t>9. Милиша Ландн пайкс (с пиками). с 1547 г.</t>
  </si>
  <si>
    <t>10. Милиша Ландн поларм (Лондонское ополчение с двуручными мечами). 2 половина</t>
  </si>
  <si>
    <t>11. Фут Мен-эт-армс (пешие латники топоры, клевцы, одноручное оружие). 1 половина</t>
  </si>
  <si>
    <t>12. Бордер хорс (пограничные рейдеры с копьем и мечом (грязное, но быстрое отребье). 1 половина</t>
  </si>
  <si>
    <t>13. Бордер хорс (пограничные рейдеры с пистолетами (грязное, но быстрое отребье). 2 половина</t>
  </si>
  <si>
    <t>14. Фаеармс Бордер хорс (пограничные рейдеры с аркебузами).с 1548 г.</t>
  </si>
  <si>
    <t>15. Деми-лансерс (лансеры, копье, конь, средние доспехи). 1 половина</t>
  </si>
  <si>
    <t>16. Рейтерс (рейтары. пистолеты, шпаги). с 3 четверти 16 века</t>
  </si>
  <si>
    <t>17. Мен-эт-армс Джентри (жандармы только английские). 1 половина</t>
  </si>
  <si>
    <t>18. Фаеармс Милиша урбан (городские ополчения с огнестрелом). 1 половина</t>
  </si>
  <si>
    <t xml:space="preserve">19. Фаеармс Трейнед бэндс (заменяют милиша урбан). с 1570 г. </t>
  </si>
  <si>
    <t>20. Маскетирс Трейнед бэндс (облегченные мушкеты). с 1570 г.</t>
  </si>
  <si>
    <t>21. Кроссбоу бордер хорс (конные пограничные рейдеры с арбалетами) 1 половина</t>
  </si>
  <si>
    <t>22. Лонгбоу йомен урбан (лучники городов). 1 половина</t>
  </si>
  <si>
    <t>23. Сейлорс боу реджимент (моряки с луками). 1 половина</t>
  </si>
  <si>
    <t>24. Уэльс лонгбоу йомен (йомены-лучники Уэльса). 2 половина</t>
  </si>
  <si>
    <t>25. Лонгбоу йомен каунти (лучники графств). 2 половина</t>
  </si>
  <si>
    <t>26. Пэншинес Кингс спирс (конная гвардия короля, копья). 1 половина</t>
  </si>
  <si>
    <t>27. Йомен гард (пешая гвардия короля с луками, биллами). 1 половина</t>
  </si>
  <si>
    <t>28. Йомен гард реджимент (конная гвадия короля, копья). 2 половина</t>
  </si>
  <si>
    <t>-----лимит юнитов, переведенны в наемники</t>
  </si>
  <si>
    <t>[b]Северная Европа[/b]</t>
  </si>
  <si>
    <t>1. Гуардиа звиццера (швейцарцы с алебардами). 1 половина</t>
  </si>
  <si>
    <t>- Отличная национальная морская пехота, остальное наемники. И есть прекрасные наемные пикенеры из Романьи.</t>
  </si>
  <si>
    <t>- Тяжелая наемная конница очень хороша. Лучше только Франция, Милан и пара юнитов у Голландии.</t>
  </si>
  <si>
    <t>- Упор на супер-финансы, легкую конницу и морскую пехоту.</t>
  </si>
  <si>
    <t>- Отличительная особенность всех итальянских фракций - в 1,5-2 раза больше аркебузеров в отряде с хорошими рукопашными навыками. Итальянцы того времени, это в первую очередь злая огнестрельная пехота.</t>
  </si>
  <si>
    <t>- Это единственная итальянская фракция, сохранившая во 2 половине века боеспособность - остальные впали в ничтожество и стали поставщиками только наемников.</t>
  </si>
  <si>
    <t>1. Галеотти (освобожденные преступники со всякими страпонами в руках). 1 половина</t>
  </si>
  <si>
    <t>2. Контадини алла Флотта (фермеры, низший ранг морской пехоты). 2 половина</t>
  </si>
  <si>
    <t>3. Черни-де Террраферма (сельское ополчение с копьями, щитами и мечами). 1 половина</t>
  </si>
  <si>
    <t>4. Колонелли ди популани (городское ополчение с копьями (не пиками). 2 половина</t>
  </si>
  <si>
    <t>5. Фанти ди Марина (морские пехотинцы с алебардами, укороченными пиками, щитами и мечами). 1 половина</t>
  </si>
  <si>
    <t>6. Фанти ди Марина (морские пехотинцы с алебардами, укороченными пиками, щитами и мечами). 2 половина</t>
  </si>
  <si>
    <t>7. Бомбардьери ди фуоко делла Марина (морские пехотинцы с гранатами). 1 половина</t>
  </si>
  <si>
    <t>8. Бомбардьери ди Марина (морские пехотинцы с вертлюжными пушками). 2 половина</t>
  </si>
  <si>
    <t>9. Джентильвомини алла Флотта (рыцари морской пехоты). Мало человек в отряде. 1 половина</t>
  </si>
  <si>
    <t>11. Ланче спеццате змонтати (спешенные латные всадники). 1 половина</t>
  </si>
  <si>
    <t>12. Страдиоти делла Греча (страдиоты Греции с копьем и булавой). 1 половина</t>
  </si>
  <si>
    <t>13. Страдиоти делла Кроациа (страдиоты Хорваты, с дротиками и саблей). 1 половина</t>
  </si>
  <si>
    <t>14. Страдиоти делла Левантини (страдиоты Леванта, что-то турецкое из вооружения). 1 половина</t>
  </si>
  <si>
    <t>15. Кавальери армати алла леджера (национальные легкие всадники). 2 половина</t>
  </si>
  <si>
    <t>16. Вомини д'арме (конные латники). 1 половина</t>
  </si>
  <si>
    <t>17. Джентильвомини д'арме (рыцари). 1 половина</t>
  </si>
  <si>
    <t>18. Кирассиес венециани(кирассиры). 2 половина</t>
  </si>
  <si>
    <t>19. Патрици а кавалло (патриции на лошадях, крайне хреновые характеристики атаки, броня хорошая). 1 половина</t>
  </si>
  <si>
    <t>20. Ланче спеццате (отличные кавалеристы, лучше только французы, миланцы и некоторые отряды голландцев). 1 половина</t>
  </si>
  <si>
    <t>21. Фанти ди аркибуджо (аркебузеры, и их очень много). 1 половина</t>
  </si>
  <si>
    <t>22. Фанти ди аркибуджо (аркебузеры, и их очень много). 2 половина</t>
  </si>
  <si>
    <t>23. Милициа ди скопетта (пешие стрелки с ружьями, убойность хуже аркебуз). 1 половина</t>
  </si>
  <si>
    <t>24. Аркибуджери а кавалло (конные аркебузеры). с 1525 года</t>
  </si>
  <si>
    <t>25. Фанти ди москетто. С 1570 г.</t>
  </si>
  <si>
    <t>-------нет, сраные республиканцы</t>
  </si>
  <si>
    <t>26. Арчиери алла Флотта (лучники морской пехоты, вооружались [b]ДРОТИКАМИ[/b]). 1 половина</t>
  </si>
  <si>
    <t>27. Бризигельлези (элитная наемная тяжелая пехота с пиками из Бризелло). 1 половина</t>
  </si>
  <si>
    <t>28. Пистольери а кавалло (конные пистолетчики, пистолеты короткие без бронебойности). с 1510 г.</t>
  </si>
  <si>
    <t>- Тунис - это легкая конница арабских, магрибских и берберских племен.</t>
  </si>
  <si>
    <t>- [b]ГРАНАТЫ[/b]. Одной из отличительных черт Туниса могут стать "Гранатчики пиратских команд". С крутым навыком рукопашки</t>
  </si>
  <si>
    <t>1. Улама (религиозные фанатики с копьями). 1 и 2 половина</t>
  </si>
  <si>
    <t>2. Балдиййя (городские жители Туниса, с арбалетами). 1 и 2 половина</t>
  </si>
  <si>
    <t>3. Бану Ганиййя (жители балеарских островов, воюющие за Хавсидов). 1 и 2 половина</t>
  </si>
  <si>
    <t>4. Мур (мавры, христианская пехота с аркебузами). 1 и 2 половина</t>
  </si>
  <si>
    <t>5. Карасинат Аррудж Бэрбрусана (пираты Барбароссы с гранатами, саблями). 1 половина</t>
  </si>
  <si>
    <t>6. Карасинат Хайрэддин Бэрбрусана (пираты Барбароссы с гранатами, саблями). 2 половина</t>
  </si>
  <si>
    <t>7. Бану Сулаим (берберские кочевники на верблюдах с аркебузами). 1 и 2 половина</t>
  </si>
  <si>
    <t>8. Силях Эльмагриб (кочевники конники Магриба с копьями). 1 и 2 половина</t>
  </si>
  <si>
    <t>9. мутахалиф ени чери-тюфенкчи (союзные янычары с мушкетами). 1 и 2 половина</t>
  </si>
  <si>
    <t>[b]Гвардия[/b]</t>
  </si>
  <si>
    <t>10. Эльмоншаку (христианская гвардия, ренегаты). 1 и 2 половина</t>
  </si>
  <si>
    <t>[b]1. Королевство Франция (основная фракция). 31 юнит[/b]</t>
  </si>
  <si>
    <t>29. ле гар экоссэ д'арше дю руа (шотландская гвардия). 1 половина</t>
  </si>
  <si>
    <t>30. ле гар экоссэ (шотландская гвардия). 2 половина</t>
  </si>
  <si>
    <t>31. ле режимон д'гар фронсэс (элитные пешие мушкетеры). с 1570 г.</t>
  </si>
  <si>
    <t xml:space="preserve">[b]24. Королевство Шотландия (средняя фракция). 20 юнитов[/b]. </t>
  </si>
  <si>
    <t>- Много легкой пехоты с пиками, и основной дамаг - чардж легкой и средней пехоты с двуручным оружием</t>
  </si>
  <si>
    <t>- Уникальное оружие: лохаберский двуручный топор, броггитский жезл с щипами, лейтский топор (что-то вроде алебарды), джетварское копье (узкий наконечник около метра длиной)</t>
  </si>
  <si>
    <t>- Ко 2 половине века шотландцы стали массово отказываться от доспеха, все более полагаясь на быстроту и количество.</t>
  </si>
  <si>
    <t>1. Катеранс (с баклером и мечом в руках). 1 половина</t>
  </si>
  <si>
    <t>3. Хайлендерс (Хайлендеры с баклером и мечом в руках). 1 половина</t>
  </si>
  <si>
    <t>6. Лоулендерс акс (лоулендеры с баклером и однорручной секирой). 1 половина</t>
  </si>
  <si>
    <t>7. Лоулендерс акс (лоулендеры с баклером и однорручной секирой в юбках). 2 половина</t>
  </si>
  <si>
    <t>8. Френч инстракта-пайкмен (французские инструкторы-пикинеры (ветераны, тяжелые ребята). 1 половина</t>
  </si>
  <si>
    <t>11. Бордер хорс рейдерс (пограничные рейдеры с копьем и мечом (грязное, но быстрое отребье). 1 половина</t>
  </si>
  <si>
    <t>12. Бордер хорс рейдерс (пограничные рейдеры с пистолетами (грязное, но быстрое отребье). 2 половина</t>
  </si>
  <si>
    <t>13. Фаеармс Бордер хорс (пограничные рейдеры с аркебузами).с 1548 г.</t>
  </si>
  <si>
    <t>14. Нойблс (знать с копьями). 1 половина</t>
  </si>
  <si>
    <t>15. Нойблс (знать с пистолетами). 1 половина</t>
  </si>
  <si>
    <t xml:space="preserve">18. Фаеармс лоулендерс (городские ополчения с огнестрелом). 2 половина </t>
  </si>
  <si>
    <t>19. Фут кингс гард (пешая королевская гвардия с пиками). 1 половина</t>
  </si>
  <si>
    <t>20. Кингс гард (Конная королевская гвардия с пистолетами). 2 половина</t>
  </si>
  <si>
    <t xml:space="preserve">[b]25. Курфюршество Саксония (средняя фракция). 20 юнитов[/b]. </t>
  </si>
  <si>
    <t>6. [color="#FF0000"][b]Аллах Милостивый[/b]. Шахиды Туниса, обвешанные гранатами с зажигательной смесью. Теперь, врываясь в строй врага, они имеют анимацию бочки с огнем (в ваниле есть такая катапульта, что швыряет огненные бочки)[/color]</t>
  </si>
  <si>
    <t>7. [color="#FF0000"][b]Аллах Милосердный[/b]. То же самое, но с взрывными гранатами.[/color]</t>
  </si>
  <si>
    <t>8. [color="#FF0000"][b]Огненный Аллах[/b]. Морские шахиды с огненными трубами (как византийцы в ваниле). О, да!![/color]</t>
  </si>
  <si>
    <t xml:space="preserve">[b]28. Швабский союз (средняя фракция). 20 юнитов[/b]. </t>
  </si>
  <si>
    <t>- Пикинеры немного хуже чем у остальных немцев (лучшие у Саксонии). Стрелки наоборот.</t>
  </si>
  <si>
    <t>- В 1 половине века пехота лучше испанской, во 2 наоборот.</t>
  </si>
  <si>
    <t>- Соотношение стрелков к пикинерам 30% .</t>
  </si>
  <si>
    <t>- Ненавидят сыр, ножи, шоколад и банковское дело.</t>
  </si>
  <si>
    <t>- В первой половине века жесткая пехота (лучше только швицы и янычары), во второй очень плохая пехота, но бОльшая численность.</t>
  </si>
  <si>
    <t>- Конница хуже французской и итальянской. Примерно наравне c испанской.</t>
  </si>
  <si>
    <t>1. Бауан (крестьяне, ооружены пивом). 1 половина</t>
  </si>
  <si>
    <t>2. Ландскнехьте мит пике Швабн (с пиками). 1 половина</t>
  </si>
  <si>
    <t>3. Ландскнехьте мит пике Швабн (с пиками). 2 половина</t>
  </si>
  <si>
    <t>4. Бюрга мит хеллебардн (горожане с алебардами). 1 половина</t>
  </si>
  <si>
    <t>5. Доппельзёльдна мит хеллебардн Швабн (с алебардами). 1 половина</t>
  </si>
  <si>
    <t>6. Бюрга мит цвайхандваффе (горожане с двуручным оружием). 1 половина</t>
  </si>
  <si>
    <t>7. Реннфане (передовой конный отряд, авангард). 1 половина</t>
  </si>
  <si>
    <t>8. Ритта Швабн (рыцари оруженосцы). 1 половина</t>
  </si>
  <si>
    <t xml:space="preserve">9. Линслойте Швабн (феодалы в тяжелых доспехах). 1 половина </t>
  </si>
  <si>
    <t>10. Кюрасъе Швабн (кирасиры). 2 половина</t>
  </si>
  <si>
    <t>11. Бюрга мит хакенбюксе Швабн (с аркебузами). 1 половина</t>
  </si>
  <si>
    <t xml:space="preserve">12. Ландскнехьте мит хакенбюксе Швабн (с аркебузами). 2 половина </t>
  </si>
  <si>
    <t>13. Ландскнехьте мит мускитн Швабн (с мушкетами). с 1570 г.</t>
  </si>
  <si>
    <t xml:space="preserve">14. Бюрга мит амбрустн Швабн. (пехота с арбалетами). 1 половина </t>
  </si>
  <si>
    <t xml:space="preserve">15. Райта мит амбрустн Швабн. (конница с арбалетами). 1 половина </t>
  </si>
  <si>
    <t>19. Валорене хауфе Швабн ("потерянная надежда", передовой пехотный отряд, авангард, штрафники). Отморозки жесткие в чардже, но слабые по броне. Вооружены огнестрелом). 1 половина</t>
  </si>
  <si>
    <t>20. Валорене хауфе Швабн ("потерянная надежда", передовой пехотный отряд, авангард, штрафники). Отморозки жесткие в чардже, но слабые по броне. Вооружены двуручными мечами). 2 половина</t>
  </si>
  <si>
    <t>[b]Западная, Северная, Южная, Fвропа[/b]</t>
  </si>
  <si>
    <t>16. Хауфен (банды, Повстанцы и наемники крестьяне и бюргеры, объединяющиеся в банды для курощения знатных кисок. Вооружены кинжалами, молотками, топорами, копями и дубинками). 1 половина</t>
  </si>
  <si>
    <t>17. Ландскнехьте мит хеллебардн (с алебардами). 1 половина</t>
  </si>
  <si>
    <t>18. Ландскнехьте мит хеллебардн (с алебардами). 2 половина</t>
  </si>
  <si>
    <t>19. Доппельзёльдна мит пике (с пиками). 1 половина</t>
  </si>
  <si>
    <t>20. Доппельзёльдна мит пике (с пиками). 2 половина</t>
  </si>
  <si>
    <t>21. Доппельзёльдна мит цвайхэнда (с двуручными мечами). 1 половина</t>
  </si>
  <si>
    <t>22. Доппельзёльдна мит цвайхэнда (с двуручными мечами). 2 половина</t>
  </si>
  <si>
    <t>23. Фусритта (спешенные рыцари с двуручным оружием). 1 половина</t>
  </si>
  <si>
    <t>24. Фусритта (спешенные рыцари с двуручным оружием). 2 половина</t>
  </si>
  <si>
    <t>25. Кроатн (легкие хорваты, вооружены как страдиоты). 1 половина</t>
  </si>
  <si>
    <t>26. Кроатн (легкие хорваты, вооружены как страдиоты). 2 половина</t>
  </si>
  <si>
    <t>27. Райта (легкие рейтары). 2 половина</t>
  </si>
  <si>
    <t>28. Райта хакебюсиес (конные аркебузеры). 2 половина</t>
  </si>
  <si>
    <t>30. Ландскнехьте мит хакенбюксе (с аркебузами). 1 половина</t>
  </si>
  <si>
    <t>31. Ландскнехьте мит хакенбюксе (с аркебузами). 2 половина</t>
  </si>
  <si>
    <t xml:space="preserve">[b]29. Эрцгерцогство Австрия (Габсбурги) (средняя фракция). 20 юнитов[/b]. </t>
  </si>
  <si>
    <t>32. Тудескос кон алабарда (тяжелая пехота, немцы с алебардами). 1 половина</t>
  </si>
  <si>
    <t>33. Тудескос кон алабарда (тяжелая пехота, немцы с алебардами). 2 половина</t>
  </si>
  <si>
    <t>34. Лос байестерос (пехота, арбалетчики). 1 половина</t>
  </si>
  <si>
    <t>35. Лос байестерос кавайо (конные арбалетчики). 1 половина</t>
  </si>
  <si>
    <t>36. Лос омбрес де арма (латники, средняя кавалерия). 1 половина</t>
  </si>
  <si>
    <t>37. Лос омбрес де арма (латники, средняя кавалерия). 2 половина</t>
  </si>
  <si>
    <t>38. Лос пика сека (иберийские легкие пикинеры). 2 половина века</t>
  </si>
  <si>
    <t>39. Страдиоти делла Албаниа (страдиоты Албании с копьем и саблей). 1 половина</t>
  </si>
  <si>
    <t>40. Капо ланче (национальные полубандиты с кавалерийскими копьями). 2 половина</t>
  </si>
  <si>
    <t>41. ЯЯ башибозук (очень злые в атаке легкие разбойники с отмороженной моралью). 1 половина</t>
  </si>
  <si>
    <t>42. ЯЯ башибозук (очень злые в атаке легкие разбойники с отмороженной моралью). 2 половина</t>
  </si>
  <si>
    <t xml:space="preserve">43. Дели (очень злые в атаке легкие конники с отмороженной моралью и отличной атакой). 1 половина  </t>
  </si>
  <si>
    <t xml:space="preserve">44. Дели (очень злые в атаке легкие конники с отмороженной моралью и отличной атакой). 2 половина </t>
  </si>
  <si>
    <t>45. Азебан-и сувари (легкие конные азапы). 1 половина</t>
  </si>
  <si>
    <t>46. Азебан-и сувари (легкие конные азапы). 2 половина</t>
  </si>
  <si>
    <t>47. Татар (легкие конные татары с луками и саблями). 1 половина</t>
  </si>
  <si>
    <t>48. Татар (легкие конные татары с луками и саблями). 1 половина</t>
  </si>
  <si>
    <t>53. Пехота венгерская (Гайдуки). с 1576 г.</t>
  </si>
  <si>
    <t>54. Сорти гади (черная стража ландскнехтов с пиками). 1 половина</t>
  </si>
  <si>
    <t>55. Мёсенри Холланд маскетирс (наемные голландские мушкетеры с облегченными мушкетами). с 1570 г.</t>
  </si>
  <si>
    <t>56. Булленерс (тяжелые жандармы из Булони). 1 половина</t>
  </si>
  <si>
    <t>57. Айлэнд гэллоглас клэймо (с двуручными мечами). 1 и 2 половина</t>
  </si>
  <si>
    <t>58. Айлэнд гэллоглас бродекс (с секирами). 1 и 2 половина</t>
  </si>
  <si>
    <t>59. Хайлендерс бродекс (Хайлендеры с двуручными топорами в юбках). 2 половина</t>
  </si>
  <si>
    <t>60. Хайлендерс пайкмен (Хайлендеры пикинеры в юбках).  2 половина</t>
  </si>
  <si>
    <t>61. Лоулендерс клэймо (Лоулендерры с клейморами). 1 и 2 половина</t>
  </si>
  <si>
    <t>62. Марксбрюда (Братство святого Марка" (Marxbrüder). Профессиональная школа фехтовальщиков на длинных мечах. Известна с середины 15 века. Штаб-квартира во Франкфурте. Вооружить можно [b]двуручными мессерами[/b] и сделать мега-монстрами в атаке.)</t>
  </si>
  <si>
    <t>63. Фрайфехьта ("Братство святого Витта" (Freifechter). То же самое, известны с 1570 гг., Штаб-квартира в Праге. Вооружить можно длинным мечом или рапирой, шпагой.)</t>
  </si>
  <si>
    <t>64. Люкасбрюда ("Братство святого Луки (Lukasbrüder). Какие-то чудаки тоже с саблями. Наемники, шлялись по городам)</t>
  </si>
  <si>
    <t xml:space="preserve">49. </t>
  </si>
  <si>
    <t>[center][size="4"][b]А теперь общий список юнитов[/b][/size]</t>
  </si>
  <si>
    <t>https://youtu.be/wYwD0bm_ark[/center]</t>
  </si>
  <si>
    <t>[size="4"][b]Концепция:[/b][/size][center]</t>
  </si>
  <si>
    <t>[/center]</t>
  </si>
  <si>
    <t>Поскольку 16 век - [b]век наемников[/b], то:</t>
  </si>
  <si>
    <t>[b]1. на общеигровых наемников лимит - 100 юнитов.[/b] На фракции - 496 юнитов.</t>
  </si>
  <si>
    <t>7. Юниты разделены на 2 половины века и имеют свои уникальные характеристики и тактику, присущие историческому бою 16 века. Так, что игрок своими глазами видит изменение военного дела и Вынужден менять поле битвы и свой бой под приходящую реальность.</t>
  </si>
  <si>
    <t>(список дополняется)</t>
  </si>
  <si>
    <t>27. де жантильомм о бек дё корбен (тяжелая конница с клевцами). 1 половина</t>
  </si>
  <si>
    <t>6. Лос роделерос дель Терсио нуево (мечники со щитами). 1 половина</t>
  </si>
  <si>
    <t>7. Лос гранадерос дель Терсио де мар (морская пехота с гранатами). 1 половина</t>
  </si>
  <si>
    <t>[b]3. Королевство Португалия (малая фракция). 10 юнитов[/b]</t>
  </si>
  <si>
    <t>21. Доппельзёльдна мит цвайхэнда аус Швиц (швейцарцы двуручники из Швица). 1 половина</t>
  </si>
  <si>
    <t>22. Доппельзёльдна мит цвайхэнда аус Швиц (швейцарцы двуручники из Швица). 2 половина</t>
  </si>
  <si>
    <t>[b]5. Мамлюкский султанат (малая фракция). 10 юнитов[/b]</t>
  </si>
  <si>
    <t xml:space="preserve">9. Абид-нафтия (видимо метатели огня). 1 и 2 половина </t>
  </si>
  <si>
    <t>13. Пятигорцы (в кольчуге, мисюрке, с копьем и круглым щитом). 1 половина</t>
  </si>
  <si>
    <t>[b]9. Орден Госпитальеров (малая фракция). 10 юнитов[/b]</t>
  </si>
  <si>
    <t>17. [color="#FF0000"]Царская охрана?????[/color]. 1 первая половина</t>
  </si>
  <si>
    <t>18. [color="#FF0000"]Царская охрана?????[/color]. 2 вторая половина</t>
  </si>
  <si>
    <t>19. Опричники (конница). 2 половина</t>
  </si>
  <si>
    <t>[b]11. Великое княжество литовское (малая фракция). 10 юнитов[/b]. [color="#FF0000"][b]Есть смысл объединить ее с Польшей и будет больше юнитов, которые разделяться между Польшей и Москвой[/b][/color]</t>
  </si>
  <si>
    <t xml:space="preserve">Ландсриттаре индельта (сельские рейтары). с 1563 г.  </t>
  </si>
  <si>
    <t>19. Фёрлораде хопен ("последняя надежда", конный авангард средней конницы). с 1563 г.</t>
  </si>
  <si>
    <t>20. Фёрлораде хопен ("последняя надежда", пеший авангард). с 1563 г.</t>
  </si>
  <si>
    <t xml:space="preserve">[b]13. Королевство Дания (малая фракция). 8 юнитов[/b]. </t>
  </si>
  <si>
    <t xml:space="preserve">[b]16. Папское государство(малая фракция). 10 юнитов[/b]. </t>
  </si>
  <si>
    <t>2. Гуардиа звиццера (швейцарцы с алебардами). 2 половина</t>
  </si>
  <si>
    <t xml:space="preserve">[b]17. Герцогство Милан(малая фракция). 10 юнитов[/b]. </t>
  </si>
  <si>
    <t xml:space="preserve">[b]18. Республика Венеция (основная фракция). 28 юнитов[/b]. </t>
  </si>
  <si>
    <t>10. Фанти армати ди Романьола (тяжелые наемники из Романьи с пиками, [b]отмороженнная мораль[/b]). 1 половина</t>
  </si>
  <si>
    <t xml:space="preserve">[b]19. Республика Флоренция (малая фракция). 10 юнитов[/b]. </t>
  </si>
  <si>
    <t xml:space="preserve">[b]20. Алжир и Тунис (малая фракция). 10 юнитов[/b]. </t>
  </si>
  <si>
    <t xml:space="preserve">[b]21. Королевство Богемия (малая фракция). 10 юнитов[/b]. </t>
  </si>
  <si>
    <t xml:space="preserve">[b]22. Крымское ханство (малая фракция). 10 юнитов[/b]. </t>
  </si>
  <si>
    <t xml:space="preserve">[b]23. Ливонская конфедерация (малая фракция). 10 юнитов[/b]. </t>
  </si>
  <si>
    <t>1. Шварцхёйпта (братство черноголовых, с копьями). 1 половина</t>
  </si>
  <si>
    <t>1. Шварцхёйпта (братство черноголовых, с пистолетах). 2 половина</t>
  </si>
  <si>
    <t>2. Хайлендерс бродакс (Хайлендеры с двуручными топорами в юбках). 2 половина</t>
  </si>
  <si>
    <t>4. Лоулендерс пайкмен (Лоулендеры пикинеры).  1 половина</t>
  </si>
  <si>
    <t>5. Лоулендерс пайкмен (Лоулендеры пикинеры в юбках).  2 половина</t>
  </si>
  <si>
    <t>9. Нойбилити пайкмен (шотландская знать - пикинеры). 1 половина</t>
  </si>
  <si>
    <t>10. Нойбилити пайкмен (шотландская знать - пикинеры). 2 половина</t>
  </si>
  <si>
    <t>16. хайлендерс робберс (разбойники с короткими пистолетами). 1 половина</t>
  </si>
  <si>
    <t>17. хайлендерс робберс (разбойники с короткими пистолетами в юбках). 2 половина</t>
  </si>
  <si>
    <t xml:space="preserve">[b]26. Маркграфство Бранденбург (малая фракция). 10 юнитов[/b]. </t>
  </si>
  <si>
    <t xml:space="preserve">[b]27. Герцогство Бавария (малая фракция). 10 юнитов[/b]. </t>
  </si>
  <si>
    <t>16. Гарде Лига (конная гвардия). 1 половина</t>
  </si>
  <si>
    <t>17. Гарде Лига (конная гвардия). 2 половина</t>
  </si>
  <si>
    <t>18. Фусгарде Лига (спешенная гвардия). 1 половина</t>
  </si>
  <si>
    <t>[b]30. Ирландия!!! (малая фракция). 10 юнитов[/b]. [b][color="#FF0000"]НАХЕР С КАЧЕЛЕК. Только ЗПОРОЖСКАЯ СЕЧЬ достойна места в моде, а Ирландии достаточно наемников!!![/color][/b]</t>
  </si>
  <si>
    <t>7. Райслёйфа мит шписе аус Граубюндн (легкие швейцарцы пикинеры из Граубюндена). 1 половина</t>
  </si>
  <si>
    <t>29. Шварце райта (знаменитые черные рейтары). 2 половина</t>
  </si>
  <si>
    <t>49. Козаки с самопалами (пешие стрелки). 1 половина</t>
  </si>
  <si>
    <t>50. Козаки с самопалами (пешие стрелки). 2 половина</t>
  </si>
  <si>
    <t>51. Козаки (легкая конница, лук, сабля). 1 половина</t>
  </si>
  <si>
    <t>52. Козаки (легкая конница, ружье, сабля). 2 половина</t>
  </si>
  <si>
    <t>5. Гуеча [url="https://ru.qaz.wiki/wiki/Guecha_warrior"](злобный воин индейцев)[/url]. 1 и 2 половина</t>
  </si>
  <si>
    <t>[center][b]И, да возмолим Господа за успешную реализацию мода</t>
  </si>
  <si>
    <t>в ОБОЗРИМОЕ ВРЕМЯ[/b]</t>
  </si>
  <si>
    <t>https://youtu.be/aomXpXt5Tq4[/center]</t>
  </si>
  <si>
    <t xml:space="preserve">1. Коммюнольтэ (всякое говно со всяким говном в руках). 1 половина </t>
  </si>
  <si>
    <t>2. Анфан пердю аз епе (пехота без доспехов с двуручными мечами в рассыпном строю). 1 половина</t>
  </si>
  <si>
    <t>3. Анфан пердю аз епе (пехота без доспехов с двуручными мечами в рассыпном строю). 2 половина</t>
  </si>
  <si>
    <t>4. Гаскон а пик (легкая пехота гасконцы с пиками с прекрасной моралью). 1 половина</t>
  </si>
  <si>
    <t>5. Лежьон фронсэс (легионеры с пиками). с 1534 до 1551 г.</t>
  </si>
  <si>
    <t>6. Режимон д'пье а пик (пехота с пиками). после 1551 г.</t>
  </si>
  <si>
    <t>7. Сон-свисс (рота ста швейцарцев с алебардами) (хорошая пехота с алебардами - гвардия). 1 половина</t>
  </si>
  <si>
    <t>8. Сон-свисс (рота ста швейцарцев с алебардами) Прево (хорошая пехота с алебардами - гвардия). 2 половина</t>
  </si>
  <si>
    <t>9. Вьё банд Шево-лежи (легкая конница, оружие разнообразное т.е. можно давать любое). до 1552 г.</t>
  </si>
  <si>
    <t xml:space="preserve">10. Жантильомм дю руа (французские дворяне с пистолетами и шпагами, в красивых шляпах и без доспехов). с 1552 г. </t>
  </si>
  <si>
    <t>11. Арше д'ордононс грон (с копьями и средними доспехами). до 1552 г.</t>
  </si>
  <si>
    <t>12. Шевальё легер (с копьями). с 1552 г.</t>
  </si>
  <si>
    <t>13. Жондарм д'ордононс Пикарди (жандармы Пикардии). 1 половина</t>
  </si>
  <si>
    <t>14. Кираcсье д'ордононс Лангедок (жандармы Лангедока). 2 половина</t>
  </si>
  <si>
    <t>15. Жондарм д'ордононс Дофинэ (жандармы Дофинэ). 1 половина</t>
  </si>
  <si>
    <t>16. Кираcсье д'ордононс Овернь (жандармы Оверни). 2 половина</t>
  </si>
  <si>
    <t>17. Жондарм д'ордононс Шомпань (жандармы Шампани). 1 половина</t>
  </si>
  <si>
    <t>18. Кираcсье д'ордононс Орлеон (жандармы Орлеана). 2 половина</t>
  </si>
  <si>
    <t>19. Жондарм д'ордононс Пьемон (жандармы Пьемонта). 1 половина</t>
  </si>
  <si>
    <t>20. Кираcсье д'ордононс Савой (жандармы Савойи). 2 половина</t>
  </si>
  <si>
    <t>21. Аркебюзье фронсэс (аркебузеры. были либо без доспехов, либо в одном морионе). 1 половина</t>
  </si>
  <si>
    <t>22. Аркебюзье фронсэс (аркебузеры. были либо без доспехов, либо в одном морионе). 2 половина</t>
  </si>
  <si>
    <t>23. Аркебюзье а шеваль фронсэс (конные аркебузеры, очень хорошие) с 1552 г.</t>
  </si>
  <si>
    <t>24. Мускетэр лежи (мушкетеры с облегченными мушкетами). года с 76-80</t>
  </si>
  <si>
    <t>25. Жантильомм о бек дё корбен ([b]Генерал[/b], тяжелая конница вороньего клюва с клевцами). 1 половина</t>
  </si>
  <si>
    <t>26. Птит гар дю руа ([b]Генерал[/b], тяжелая конница). 2 половина</t>
  </si>
  <si>
    <t>27. Гар экоссэ д'арше дю руа (шотландская гвардия). 1 половина</t>
  </si>
  <si>
    <t>28. Гар экоссэ (шотландская гвардия). 2 половина</t>
  </si>
  <si>
    <t>29. Режимон д'гар фронсэс (элитные пешие мушкетеры). с 1570 г.</t>
  </si>
  <si>
    <t>[b]2. Объединенное Королевство Испания (основная фракция). 26 юнитов[/b]</t>
  </si>
  <si>
    <t xml:space="preserve">2. Бандидос. (Ополченцы, охочие люди с пистолетами. Одеты в крестьян и подонков=). 2 половина </t>
  </si>
  <si>
    <t>5. Роделерос дель Терсио вьехо (мечники со щитами). 1 половина</t>
  </si>
  <si>
    <t>6. Роделерос дель Терсио нуево (мечники со щитами). 1 половина</t>
  </si>
  <si>
    <t>7. Гранадерос дель Терсио де мар (морская пехота с гранатами). 1 половина</t>
  </si>
  <si>
    <t>8. Гранадерос дель Терсио де Армада (морская пехота с гранатами). 2 половина</t>
  </si>
  <si>
    <t>9. Омбрес де арма дезмонтадо (спешеные рыцари с кавалерийскими копьями). 1 половина</t>
  </si>
  <si>
    <t>10. Алабардерос дель Коронейя (алебардеры в доспехах). 1 половина</t>
  </si>
  <si>
    <t>11. Пикерос дель Терсио нуево (пикинеры в доспехах). 2 половина</t>
  </si>
  <si>
    <t>12. Хинетос (хинеты). 1 половина</t>
  </si>
  <si>
    <t>13. Кавайос лихеро (легкая конница). 2 половина</t>
  </si>
  <si>
    <t>14. Омбрес де арма де Каталунья (рыцари). 1 половина</t>
  </si>
  <si>
    <t>16. Аркабусерос (аркебузеры). 1 половина</t>
  </si>
  <si>
    <t>17. Аркабусерос дель Терсио (аркебузеры). 2 половина</t>
  </si>
  <si>
    <t xml:space="preserve">18. Аркабусерос кавайо (конные аркебузеры). 2 половина </t>
  </si>
  <si>
    <t>19. Москетерос дель Терсио вьехо (мушкетеры). с 1520 г. до 1564 г.</t>
  </si>
  <si>
    <t>20. Москетерос дель Терсио нуево (мушкетеры). 2 половина</t>
  </si>
  <si>
    <t>21. Хинетос гуардиа дель рей ([b]Генерал[/b], латные хинеты, гвардия). 1 половина</t>
  </si>
  <si>
    <t>22. Корте дель рей ([b]Генерал[/b], конные латники, гвардия). 2 половина</t>
  </si>
  <si>
    <t>23. Карро де герра аркабус (боевая повозки с аркебузерами)</t>
  </si>
  <si>
    <t>24. Карро де герра москет (боевая повозки с полвыми орудиями на них). с 1520 г.</t>
  </si>
  <si>
    <t>25. Омбрес де арма Сантьяго (конные латники рыцарского ордена). 1 половина</t>
  </si>
  <si>
    <t>26. Омбрес де арма Алькантара (конные латники рыцарского ордена). 2 половина</t>
  </si>
  <si>
    <t>[b]3. Королевство Португалия (малая фракция). 9 юнитов[/b]</t>
  </si>
  <si>
    <t>3. Лансейрус (пикинеры). 2 половина века</t>
  </si>
  <si>
    <t>4. Фидалгу (дворяне с мечами, щитами [b]и гранатами[/b], очень зверские). 1 половина</t>
  </si>
  <si>
    <t>5. Фидалгу (дворяне с мечами, щитами [b]и гранатами[/b], еще более зверские). 2 половина</t>
  </si>
  <si>
    <t xml:space="preserve">6. Фидалгу жи колубретас (стрелки с ружьями). 1 половина </t>
  </si>
  <si>
    <t xml:space="preserve">7. Фидалгу жи аркабус (стрелки с ружьями). 1 половина </t>
  </si>
  <si>
    <t>8. Нобрез эквестрис ([b]Генерал,[/b] конная гвардия). 1 половина</t>
  </si>
  <si>
    <t>9. Корче ду рей ([b]Генерал,[/b] конная гвардия). 2 половина</t>
  </si>
  <si>
    <t>4. Райслёйфа мит шписе аус Цуг (швейцарцы пикинеры из Цуга). 1 половина</t>
  </si>
  <si>
    <t>5. Райслёйфа мит шписе аус Цуг (швейцарцы пикинеры из Цуга). 2 половина</t>
  </si>
  <si>
    <t>6. Райслёйфа мит хеллебардн аус Берн (швейцарцы алебардеры из Берна). 1 половина</t>
  </si>
  <si>
    <t>7. Райслёйфа мит шписе аус Ури (швейцарцы пикинеры из Ури). 1 половина</t>
  </si>
  <si>
    <t>8. Райслёйфа мит шписе аус Ури (швейцарцы пикинеры из Ури). 2 половина</t>
  </si>
  <si>
    <t>9. Райслёйфа мит хеллебардн аус Унтервальден (швейцарцы алебардеры из Унтервальдена). 1 половина</t>
  </si>
  <si>
    <t>10. Доппельзёльдна мит хеллебардн аус Цуг (швейцарцы алебардеры из Цуга). 1 половина</t>
  </si>
  <si>
    <t>11. Доппельзёльдна мит хеллебардн аус Цуг (швейцарцы алебардеры из Цуга). 2 половина</t>
  </si>
  <si>
    <t>12. Доппельзёльдна мит шписе аус Берн (швейцарцы пикинеры из Берна). 1 половина</t>
  </si>
  <si>
    <t>13. Доппельзёльдна мит шписе аус Берн (швейцарцы пикинеры из Берна). 2 половина</t>
  </si>
  <si>
    <t>14. Доппельзёльдна мит хеллебардн аус Ури (швейцарцы алебардеры из Ури). 1 половина</t>
  </si>
  <si>
    <t>15. Доппельзёльдна мит хеллебардн аус Ури (швейцарцы алебардеры из Уи). 2 половина</t>
  </si>
  <si>
    <t>16. Доппельзёльдна мит шписе аус Унтервальден (швейцарцы пикинеры из Унтервальдена). 1 половина</t>
  </si>
  <si>
    <t>17. Доппельзёльдна мит шписе аус Унтервальден (швейцарцы пикинеры из Унтервальдена). 2 половина</t>
  </si>
  <si>
    <t>18. Доппельзёльдна мит цвайхэнда аус Швиц (швейцарцы двуручники из Швица). 1 половина</t>
  </si>
  <si>
    <t>19. Доппельзёльдна мит цвайхэнда аус Швиц (швейцарцы двуручники из Швица). 2 половина</t>
  </si>
  <si>
    <t>20. дер Югенд мит хакенбюксе (швейцарская молодежь с ружьями). до 1530 г.</t>
  </si>
  <si>
    <t>21. Швайца ритта трабант ([b]Генерал,[/b] конный рыцарь) 1 половина</t>
  </si>
  <si>
    <t>22. Швайца ритта трабант ([b]Генерал,[/b] конный рыцарь) 2 половина</t>
  </si>
  <si>
    <t>23. Швертмайста трабант (пешие двуручники). 1 половина</t>
  </si>
  <si>
    <t>24. Швертмайста трабант (пешиу двуручники). 2 половина</t>
  </si>
  <si>
    <t>20. Гуляй город. 1 и 2 половина</t>
  </si>
  <si>
    <t>[b]11. Великое княжество литовское (малая фракция). 10 юнитов[/b]. [color="#FF0000"][b]Есть смысл объединить ее с Польшей и будет больше юнитов, которые разделятся между Польшей и Москвой[/b][/color]</t>
  </si>
  <si>
    <t>[b]Южная, Центральная Fвропа[/b]</t>
  </si>
  <si>
    <t>[b]4. Швейцарская конфедерация (основная фракция). 24 юнита[/b]</t>
  </si>
  <si>
    <t>[b]5. Мамлюкский султанат (малая фракция). 6 юнитов[/b]</t>
  </si>
  <si>
    <t>[b]6. Османская империя (основная фракция). 22 юнита[/b]</t>
  </si>
  <si>
    <t>1. Азапи (азапы с пиками). Должны быть в рассыпном строю. 1 и 2 половина</t>
  </si>
  <si>
    <t>2. ЯЯ Анадолу (с копьями). 1 половина</t>
  </si>
  <si>
    <t>3. ЯЯ Румели (с копьями). 2 половина</t>
  </si>
  <si>
    <t>4. Ени чери тебар (янычары с секирами/алебардами). 1 половина</t>
  </si>
  <si>
    <t xml:space="preserve">5. Ени чери тебар (янычары с секирами/алебардами). 2 половина </t>
  </si>
  <si>
    <t>6. Бурюме сипахи тимар юрюерек (спешенные сипахи, длинные копья, сабли, щиты). 1 половина</t>
  </si>
  <si>
    <t>7. Бурюме сипахи тимар юрюерек (спешенные сипахи, длинные копья, сабли, щиты). 1 половина</t>
  </si>
  <si>
    <t>8. Акинджи (легкая конница, лук, сабля, щит). 1 половина</t>
  </si>
  <si>
    <t>9. Акинджи (легкая конница, лук, сабля, щит). 2 половина</t>
  </si>
  <si>
    <t>10. Бурюме тимар Анадолу (всадники, длинные копья, сабли, щиты). 1 половина</t>
  </si>
  <si>
    <t>11. Джебе тимар Анадолу (всадники, аркебузы, сабли, щиты). 2 половина</t>
  </si>
  <si>
    <t>12. Геджим сипахи тимар Румели (всадники, длинные копья, сабли, щиты). 1 половина</t>
  </si>
  <si>
    <t>13. Геджим сипахи тимар Румели (всадники, длинные копья, сабли, щиты). 2 половина</t>
  </si>
  <si>
    <t>14. Ени чери-тюфенкчи (мушкетеры-янычары, характеристики турецкого мушкета ровно посередине между европейской аркебузой и европейским мушкетом). 1 половина</t>
  </si>
  <si>
    <t>15. Ени чери-тюфенкчи (мушкетеры-янычары, характеристики турецкого мушкета ровно посередине между европейской аркебузой и европейским мушкетом). 2 половина</t>
  </si>
  <si>
    <t>16. Ени чери-татар яйи (пешие арбалетчики). 1 половина</t>
  </si>
  <si>
    <t>17. Ени чери солаки (средняя пехота с луками). 1 половина</t>
  </si>
  <si>
    <t>18. азапи солаки (говным гавно). 1 половина</t>
  </si>
  <si>
    <t>19. ясакчи. (пешые янычари, несущие службу во двоце. Можно забронировать по самые пятки). 1 половина</t>
  </si>
  <si>
    <t>20. ясакчи. (пешые янычари, несущие службу во двоце. Можно забронировать по самые пятки). 2 половина</t>
  </si>
  <si>
    <t>21. гуреба-и йемин ([b]Генерал,[/b] конная гвардия Султана). 1 половина</t>
  </si>
  <si>
    <t>22. гуреба-и йесар ([b]Генерал,[/b] конная гвардия Султана). 2 половина</t>
  </si>
  <si>
    <t>[b]7. Королевство Венгрия (средняя фракция). 16 юнитов[/b]</t>
  </si>
  <si>
    <t>[b]9. Орден Госпитальеров (малая фракция). 8 юнитов[/b]</t>
  </si>
  <si>
    <t xml:space="preserve">[b]12. Королевство Швеция (средняя фракция). 16 юнитов[/b] </t>
  </si>
  <si>
    <t>1. Милис стадсбор (ополчение провинции). 1 половина века</t>
  </si>
  <si>
    <t>2. Хэппсрегементет рондаш (корабельный полк, с мечами и щитами). с 1563 г.</t>
  </si>
  <si>
    <t>3. Фяника индельта Вестергётланд (с пиками). с 1563 г.</t>
  </si>
  <si>
    <t>4. Фяника индельта Уппланд (с мечами и щитами). с 1563 г.</t>
  </si>
  <si>
    <t>5. Фяника индельта Смоланд (с алебардами). с 1563 г.</t>
  </si>
  <si>
    <t>6. Гордсфяника (пешая гвардия с пиками). с 1563 г.</t>
  </si>
  <si>
    <t>7. Адельсфана (ополчение знати). 1 половина века</t>
  </si>
  <si>
    <t>8. Адельсфана Эстергётланд. с 1563 г.</t>
  </si>
  <si>
    <t>9. Адельсфана Кальмар ([b]Генерал[/b]). с 1563 г.</t>
  </si>
  <si>
    <t>12. Ховфана ([b]Генерал,[/b] собственный полк короля, копья). с 1563 г.</t>
  </si>
  <si>
    <t>13. Бланка риттарна (белые рейтары, тяжелая конница, копья). с 1563 г.</t>
  </si>
  <si>
    <t>14. Сварта риттарна (черные рейтары, тяжелая конница, пистолеты). с 1563 г.</t>
  </si>
  <si>
    <t>15. Фёрлораде хопен ("последняя надежда", конный авангард средней конницы). с 1563 г.</t>
  </si>
  <si>
    <t xml:space="preserve">[b]13. Королевство Дания (малая фракция). 7 юнитов[/b]. </t>
  </si>
  <si>
    <t>2. Флодсельскэб пэнсрат (тяжелая корабельная рота). 1 половина</t>
  </si>
  <si>
    <t>3. Флодсельскэб пэнсрат (тяжелая корабельная рота). 2 половина</t>
  </si>
  <si>
    <t>4. Элсхуттари (конное ополчение дворян). 1 половина</t>
  </si>
  <si>
    <t>5. Элсхуттари (конное ополчение дворян). 2 половина</t>
  </si>
  <si>
    <t>6. Консхоф ([b]Генерал,[/b] конная гвардия короля). 1 половина</t>
  </si>
  <si>
    <t>7. Консхоф ([b]Генерал,[/b] конная гвардия короля). 2 половина</t>
  </si>
  <si>
    <t xml:space="preserve">[b]14. Семнадцать провинций (Бургундия и Нидерланды)(средняя фракция). 14 юнитов[/b]. </t>
  </si>
  <si>
    <t>4. Йомен каунти билл (с биллами). 1 половина</t>
  </si>
  <si>
    <t xml:space="preserve">5. Трейнед бэндс пайкс (с пиками - заменяют йоменов с биллами). с 1570 г. </t>
  </si>
  <si>
    <t>6. Милиша Ландн билл (с биллами). 1 половина</t>
  </si>
  <si>
    <t>7. Милиша Ландн пайкс (с пиками). с 1547 г.</t>
  </si>
  <si>
    <t>8. Милиша Ландн поларм (Лондонское ополчение с двуручными мечами). 2 половина</t>
  </si>
  <si>
    <t>9. Фут Мен-эт-армс (пешие латники топоры, клевцы, одноручное оружие). 1 половина</t>
  </si>
  <si>
    <t xml:space="preserve">[b]16. Папское государство(малая фракция). 6 юнитов[/b]. </t>
  </si>
  <si>
    <t xml:space="preserve">[b]17. Герцогство Милан(малая фракция). 8 юнитов[/b]. </t>
  </si>
  <si>
    <t xml:space="preserve">[b]18. Республика Венеция (основная фракция). 17 юнитов[/b]. </t>
  </si>
  <si>
    <t>10. Страдиоти делла Греча (страдиоты Греции с копьем и булавой). 1 половина</t>
  </si>
  <si>
    <t>11. Страдиоти делла Кроациа (страдиоты Хорваты, с дротиками и саблей). 1 половина</t>
  </si>
  <si>
    <t>12. Патрици а кавалло (патриции на лошадях, крайне хреновые характеристики атаки, броня хорошая). 1 половина</t>
  </si>
  <si>
    <t>15. Арчиери алла Флотта (лучники морской пехоты, вооружались [b]ДРОТИКАМИ[/b]). 1 половина</t>
  </si>
  <si>
    <t>16. Бризигельлези (элитная наемная тяжелая пехота с пиками из Бризелло). 1 половина</t>
  </si>
  <si>
    <t>17. Пистольери а кавалло (конные пистолетчики, пистолеты короткие без бронебойности). с 1510 г.</t>
  </si>
  <si>
    <t xml:space="preserve">[b]5. Королевство Англия (основная фракция). 23 юнита[/b]. </t>
  </si>
  <si>
    <t>10. Деми-лансерс (лансеры, копье, конь, средние доспехи). 1 половина</t>
  </si>
  <si>
    <t>11. Рейтерс (рейтары. пистолеты, шпаги). с 3 четверти 16 века</t>
  </si>
  <si>
    <t>12. Мен-эт-армс Джентри (жандармы только английские). 1 половина</t>
  </si>
  <si>
    <t>13. Фаеармс Милиша урбан (городские ополчения с огнестрелом). 1 половина</t>
  </si>
  <si>
    <t xml:space="preserve">14. Фаеармс Трейнед бэндс (заменяют милиша урбан). с 1570 г. </t>
  </si>
  <si>
    <t>15. Маскетирс Трейнед бэндс (облегченные мушкеты). с 1570 г.</t>
  </si>
  <si>
    <t>16. Кроссбоу бордер хорс (конные пограничные рейдеры с арбалетами) 1 половина</t>
  </si>
  <si>
    <t>17. Лонгбоу йомен урбан (лучники городов). 1 половина</t>
  </si>
  <si>
    <t>18. Сейлорс боу реджимент (моряки с луками). 1 половина</t>
  </si>
  <si>
    <t>19. Уэльс лонгбоу йомен (йомены-лучники Уэльса). 2 половина</t>
  </si>
  <si>
    <t>20. Лонгбоу йомен каунти (лучники графств). 2 половина</t>
  </si>
  <si>
    <t>21. Пэншинес Кингс спирс ([b]Генерал,[/b] конная гвардия короля, копья). 1 половина</t>
  </si>
  <si>
    <t>22. Йомен гард (пешая гвардия короля с луками, биллами). 1 половина</t>
  </si>
  <si>
    <t>23. Йомен гард реджимент ([b]Генерал,[/b] конная гвадия короля, копья). 2 половина</t>
  </si>
  <si>
    <t>13. Ланче спеццате венециани ([b]Генерал,[/b] отличные кавалеристы, лучше только французы, миланцы и некоторые отряды голландцев). 1 половина</t>
  </si>
  <si>
    <t>14. Кирассиес венециани([b]Генерал,[/b] кирассиры). 2 половина</t>
  </si>
  <si>
    <t xml:space="preserve">[b]19. Республика Флоренция (малая фракция). 6 юнитов[/b]. </t>
  </si>
  <si>
    <t>10. Эльмоншаку ([b]Генерал,[/b] христианская гвардия, ренегаты). 1 и 2 половина</t>
  </si>
  <si>
    <t xml:space="preserve">[b]21. Королевство Богемия (малая фракция). 6 юнитов[/b]. </t>
  </si>
  <si>
    <t>1. Табор (повозки). 1 половина</t>
  </si>
  <si>
    <t>2. Табор (повозки). 2 половина</t>
  </si>
  <si>
    <t xml:space="preserve">[b]22. Крымское ханство (малая фракция). 6 юнитов[/b]. </t>
  </si>
  <si>
    <t xml:space="preserve">[b]23. Ливонская конфедерация (малая фракция). 8 юнитов[/b]. </t>
  </si>
  <si>
    <t xml:space="preserve">[b]24. Королевство Шотландия (средняя фракция). 17 юнитов[/b]. </t>
  </si>
  <si>
    <t>11. Нойблс (знать с копьями). 1 половина</t>
  </si>
  <si>
    <t>12. Нойблс (знать с пистолетами). 1 половина</t>
  </si>
  <si>
    <t>13. хайлендерс робберс (разбойники с короткими пистолетами). 1 половина</t>
  </si>
  <si>
    <t>14. хайлендерс робберс (разбойники с короткими пистолетами в юбках). 2 половина</t>
  </si>
  <si>
    <t xml:space="preserve">15. Фаеармс лоулендерс (городские ополчения с огнестрелом). 2 половина </t>
  </si>
  <si>
    <t>16. Фут кингс гард ([b]Генерал,[/b] пешая королевская гвардия с пиками). 1 половина</t>
  </si>
  <si>
    <t>17. Кингс гард ([b]Генерал,[/b] Конная королевская гвардия с пистолетами). 2 половина</t>
  </si>
  <si>
    <t xml:space="preserve">[b]25. Курфюршество Саксония (средняя фракция). 12 юнитов[/b]. </t>
  </si>
  <si>
    <t xml:space="preserve">[b]26. Маркграфство Бранденбург (малая фракция). 6 юнитов[/b]. </t>
  </si>
  <si>
    <t xml:space="preserve">[b]27. Герцогство Бавария (малая фракция). 6 юнитов[/b]. </t>
  </si>
  <si>
    <t xml:space="preserve">[b]28. Швабский союз (средняя фракция). 14 юнитов[/b]. </t>
  </si>
  <si>
    <t>4. Доппельзёльдна мит хеллебардн Швабн (с алебардами). 1 половина</t>
  </si>
  <si>
    <t>5. Доппельзёльдна мит хеллебардн Швабн (с алебардами). 2 половина</t>
  </si>
  <si>
    <t>8. Бюрга мит хакенбюксе Швабн (с аркебузами). 1 половина</t>
  </si>
  <si>
    <t>9. Ландскнехьте мит мускитн Швабн (с мушкетами). с 1570 г.</t>
  </si>
  <si>
    <t xml:space="preserve">10. Бюрга мит амбрустн Швабн. (пехота с арбалетами). 1 половина </t>
  </si>
  <si>
    <t xml:space="preserve">11. Райта мит амбрустн Швабн. (конница с арбалетами). 1 половина </t>
  </si>
  <si>
    <t>12. Гарде Лига ([b]Генерал,[/b] конная гвардия). 1 половина</t>
  </si>
  <si>
    <t>13. Гарде Лига ([b]Генерал,[/b] конная гвардия). 2 половина</t>
  </si>
  <si>
    <t>14. Фусгарде Лига (спешенная гвардия с древковым оружием). 1 половина</t>
  </si>
  <si>
    <t xml:space="preserve">[b]29. Эрцгерцогство Австрия (Габсбурги) (средняя фракция). 16 юнитов[/b]. </t>
  </si>
  <si>
    <t>[b]30. Ирландия!!! (малая фракция). 8 юнитов[/b]. [b][color="#FF0000"]НАХЕР С КАЧЕЛЕК. Только ЗПОРОЖСКАЯ СЕЧЬ достойна места в моде, а Ирландии достаточно наемников!!![/color][/b]</t>
  </si>
  <si>
    <t>1. Вьё банд Пикарди (средняя пехота, старая банда Пикардии, пикинеры). до 1551. г.</t>
  </si>
  <si>
    <t>2. Вьё банд Пьемон (средняя пехота, старая банда Пьемонта, алебардщики). до 1551. г.</t>
  </si>
  <si>
    <t>3. Жондарм д'пье (тяжелая пехота, спешенные жандармы и пешие латники с кавалерийскими копьями, полаксами, альшписами, эспантонами, двуручными мечами, клевцами, булавами). 1 половина</t>
  </si>
  <si>
    <t>4. Анфан пердю аркебюз (аркебузеры в средних и тяжелых доспехах). 2 половина</t>
  </si>
  <si>
    <t>5. Бенде бьянке (белые повязки, итальянские аркебузеры). 1 половина</t>
  </si>
  <si>
    <t>6. Райслёйфа мит шписе аус Граубюндн (легкие швейцарцы пикинеры из Граубюндена). 1 половина</t>
  </si>
  <si>
    <t>7. Райслёйфа мит шписе аус Нидвальден (швейцарцы пикинеры из Нидвальдена). 1 половина</t>
  </si>
  <si>
    <t>8. Райслёйфа мит шписе аус Нидвальден (швейцарцы пикинеры из Нидвальдена). 2 половина</t>
  </si>
  <si>
    <t>9. Райслёйфа мит халлебардн аус Швиц (швейцарцы алебардисты из Швица). 1 половина</t>
  </si>
  <si>
    <t>12. Райслёйфа мит цвайхэнда аус Золотурн Доппельзёльдна (швейцарцы двуручники из Золотурна). 2 половина</t>
  </si>
  <si>
    <t>13. Райслёйфа мит халлебардн аус Цюрих Доппельзёльдна (швейцарцы алебардисты из Цюриха). 1 половина</t>
  </si>
  <si>
    <t>14. Райслёйфа мит шписе аус Цюрих Доппельзёльдна (швейцарцы пикинеры из Цюриха). 2 половина</t>
  </si>
  <si>
    <t>15. Хауфен (банды, Повстанцы и наемники крестьяне и бюргеры, объединяющиеся в банды для курощения знатных кисок. Вооружены кинжалами, молотками, топорами, копями и дубинками). 1 половина</t>
  </si>
  <si>
    <t>16. Ландскнехьте мит хеллебардн (с алебардами). 1 половина</t>
  </si>
  <si>
    <t>18. Доппельзёльдна мит пике (с пиками). 1 половина</t>
  </si>
  <si>
    <t>19. Доппельзёльдна мит пике (с пиками). 2 половина</t>
  </si>
  <si>
    <t>20. Доппельзёльдна мит цвайхэнда (с двуручными мечами). 1 половина</t>
  </si>
  <si>
    <t>21. Доппельзёльдна мит цвайхэнда (с двуручными мечами). 2 половина</t>
  </si>
  <si>
    <t>22. Фусритта (спешенные рыцари с двуручным оружием). 1 половина</t>
  </si>
  <si>
    <t>26. Райта (легкие рейтары). 2 половина</t>
  </si>
  <si>
    <t>27. Райта хакебюсиес (конные аркебузеры). 2 половина</t>
  </si>
  <si>
    <t>28. Шварце райта (знаменитые черные рейтары). 2 половина</t>
  </si>
  <si>
    <t>29. Ландскнехьте мит хакенбюксе (с аркебузами). 1 половина</t>
  </si>
  <si>
    <t>30. Ландскнехьте мит хакенбюксе (с аркебузами). 2 половина</t>
  </si>
  <si>
    <t>31. Ритта (средние рыцари оруженосцы). 1 половина</t>
  </si>
  <si>
    <t xml:space="preserve">32. Линслойте (феодалы в тяжелых доспехах). 1 половина </t>
  </si>
  <si>
    <t>35. Валорене хауфе Швабн ("потерянная надежда", передовой пехотный отряд, авангард, штрафники). Отморозки жесткие в чардже, но слабые по броне. Вооружены огнестрелом). 1 половина</t>
  </si>
  <si>
    <t>36. Валорене хауфе Швабн ("потерянная надежда", передовой пехотный отряд, авангард, штрафники). Отморозки жесткие в чардже, но слабые по броне. Вооружены двуручными мечами). 2 половина</t>
  </si>
  <si>
    <t>39. Арбалетчики (пехота, арбалетчики). 1 половина</t>
  </si>
  <si>
    <t>40. Конные арбалетчки (конные арбалетчики). 1 половина</t>
  </si>
  <si>
    <t>44. Страдиоти делла Албаниа (страдиоты Албании с копьем и саблей). 1 половина</t>
  </si>
  <si>
    <t>45. Капо ланче (национальные полубандиты с кавалерийскими копьями). 2 половина</t>
  </si>
  <si>
    <t>46. Ланче спеццате змонтати (спешенные латные всадники). 1 половина</t>
  </si>
  <si>
    <t>47. Кавальери армати алла леджера (национальные легкие всадники). 2 половина</t>
  </si>
  <si>
    <t>48. Вомини д'арме (средние конные латники). 1 половина</t>
  </si>
  <si>
    <t>49. Джентильвомини д'арме (рыцари). 1 половина</t>
  </si>
  <si>
    <t>50. Ланче спеццате (отличные кавалеристы, лучше только французы, миланцы и некоторые отряды голландцев). 1 половина</t>
  </si>
  <si>
    <t>51. Фанти ди аркибуджо (аркебузеры, и их очень много). 1 половина</t>
  </si>
  <si>
    <t>52. Фанти ди аркибуджо (аркебузеры, и их очень много). 2 половина</t>
  </si>
  <si>
    <t>53. Аркибуджери а кавалло (конные аркебузеры). с 1525 года</t>
  </si>
  <si>
    <t>54. Фанти ди москетто (с облегченными мушкетами). С 1570 г.</t>
  </si>
  <si>
    <t>61. Татар (легкие конные татары с луками и саблями). 1 половина</t>
  </si>
  <si>
    <t>62. Татар (легкие конные татары с луками и саблями). 1 половина</t>
  </si>
  <si>
    <t>63. Козаки с самопалами (пешие стрелки). 1 половина</t>
  </si>
  <si>
    <t>64. Козаки с самопалами (пешие стрелки). 2 половина</t>
  </si>
  <si>
    <t>65. Козаки (легкая конница, лук, сабля). 1 половина</t>
  </si>
  <si>
    <t>66. Козаки (легкая конница, ружье, сабля). 2 половина</t>
  </si>
  <si>
    <t>68. Бордер хорс рейдерс (пограничные рейдеры с копьем и мечом (грязное, но быстрое отребье). 1 половина</t>
  </si>
  <si>
    <t>69. Бордер хорс рейдерс (пограничные рейдеры с пистолетами (грязное, но быстрое отребье). 2 половина</t>
  </si>
  <si>
    <t>70. Фаеармс Бордер хорс (пограничные рейдеры с аркебузами).с 1548 г.</t>
  </si>
  <si>
    <t>71. Сорти гади (черная стража ландскнехтов с пиками). 1 половина</t>
  </si>
  <si>
    <t>72. Мёсенри Холланд маскетирс (наемные голландские мушкетеры с облегченными мушкетами). с 1570 г.</t>
  </si>
  <si>
    <t>73. Булленерс (тяжелые жандармы из Булони). 1 половина</t>
  </si>
  <si>
    <t>74. Айлэнд гэллоглас клэймо (с двуручными мечами). 1 и 2 половина</t>
  </si>
  <si>
    <t>75. Айлэнд гэллоглас бродекс (с секирами). 1 и 2 половина</t>
  </si>
  <si>
    <t>76. Хайлендерс бродекс (Хайлендеры с двуручными топорами в юбках). 2 половина</t>
  </si>
  <si>
    <t>77. Хайлендерс пайкмен (Хайлендеры пикинеры в юбках).  2 половина</t>
  </si>
  <si>
    <t>78. Лоулендерс клэймо (Лоулендерры с клейморами). 1 и 2 половина</t>
  </si>
  <si>
    <t>79. Марксбрюда (Братство святого Марка" (Marxbrüder). Профессиональная школа фехтовальщиков на длинных мечах. Известна с середины 15 века. Штаб-квартира во Франкфурте. Вооружить можно [b]двуручными мессерами[/b] и сделать мега-монстрами в атаке.)</t>
  </si>
  <si>
    <t>80. Фрайфехьта ("Братство святого Витта" (Freifechter). То же самое, известны с 1570 гг., Штаб-квартира в Праге. Вооружить можно длинным мечом или рапирой, шпагой.)</t>
  </si>
  <si>
    <t>81. Люкасбрюда ("Братство святого Луки (Lukasbrüder). Какие-то чудаки тоже с саблями. Наемники, шлялись по городам)</t>
  </si>
  <si>
    <t>17. Доппельзёльдна мит хеллебардн (с алебардами). 2 половина</t>
  </si>
  <si>
    <t>33. Кюрасъе (немецкие кирасиры). 2 половина</t>
  </si>
  <si>
    <t>41. Омбрес де арма (латники, средняя кавалерия). 1 половина</t>
  </si>
  <si>
    <t>42. Омбрес де арма (латники, средняя кавалерия). 2 половина</t>
  </si>
  <si>
    <t>43. Пика сека (иберийские легкие пикинеры). 2 половина века</t>
  </si>
  <si>
    <t xml:space="preserve">57. Дели (очень злые в атаке легкие конники с отмороженной моралью и отличной атакой). 1 и 2 половина  </t>
  </si>
  <si>
    <t>59. Азебан-и сувари (легкие конные азапы). 1 и 2 половина</t>
  </si>
  <si>
    <t>55. ЯЯ башибозук (очень злые в атаке легкие разбойники с отмороженной моралью). 1 и 2  половина</t>
  </si>
  <si>
    <t>10. Райслёйфа мит цвайхэнда аус Золотурн Доппельзёльдна (швейцарцы двуручники из Золотурна). 1 половина</t>
  </si>
  <si>
    <t>[b]1. на общеигровых наемников лимит - 76 юнитов.[/b] [b]На фракции - 394 юнита[/b].</t>
  </si>
  <si>
    <t>2. на флот лимит - 4 юнита. на артиллерию - 30 юнитов</t>
  </si>
  <si>
    <t>3. На Основные фракции лимит - в районе 13 юнитов на 1 половину века и 13 юнитов на 2 половину.</t>
  </si>
  <si>
    <t>4. На Средние фракции лимит - в районе 6 юнитов на 1 половину века и 6 юнитов на 2 половину.</t>
  </si>
  <si>
    <t>5. На Малые фракции лимит - в районе 3 юнитов на 1 половину века и 3 юнитов на 2 половину.</t>
  </si>
  <si>
    <t>[b]0.2. Артиллерия[/b] лимит (5*3(регионы)*2(половины века)= 30 юнитов)</t>
  </si>
  <si>
    <t>1. Кулеврина</t>
  </si>
  <si>
    <t>2. Осадное орудие</t>
  </si>
  <si>
    <t>3. Фальконет</t>
  </si>
  <si>
    <t>4. Рибодекин</t>
  </si>
  <si>
    <t>5 Полевое ружье</t>
  </si>
  <si>
    <t>[b]НАЕМНИКИ. 76 юнитов[/b]</t>
  </si>
  <si>
    <t>11. Райслёйфа мит цвайхэнда аус Золотурн Доппельзёльдна (швейцарцы двуручники из Золотурна). 2 половина</t>
  </si>
  <si>
    <t>12. Райслёйфа мит халлебардн аус Цюрих Доппельзёльдна (швейцарцы алебардисты из Цюриха). 1 половина</t>
  </si>
  <si>
    <t>13. Райслёйфа мит шписе аус Цюрих Доппельзёльдна (швейцарцы пикинеры из Цюриха). 2 половина</t>
  </si>
  <si>
    <t>14. Хауфен (банды, Повстанцы и наемники крестьяне и бюргеры, объединяющиеся в банды для курощения знатных кисок. Вооружены кинжалами, молотками, топорами, копями и дубинками). 1 половина</t>
  </si>
  <si>
    <t>15. Ландскнехьте мит хеллебардн (с алебардами). 1 половина</t>
  </si>
  <si>
    <t>16. Доппельзёльдна мит хеллебардн (с алебардами). 2 половина</t>
  </si>
  <si>
    <t>17. Доппельзёльдна мит пике (с пиками). 1 половина</t>
  </si>
  <si>
    <t>18. Доппельзёльдна мит пике (с пиками). 2 половина</t>
  </si>
  <si>
    <t>19. Доппельзёльдна мит цвайхэнда (с двуручными мечами). 1 половина</t>
  </si>
  <si>
    <t>20. Доппельзёльдна мит цвайхэнда (с двуручными мечами). 2 половина</t>
  </si>
  <si>
    <t>21. Фусритта (спешенные рыцари с двуручным оружием). 1 половина</t>
  </si>
  <si>
    <t>22. Райта (легкие рейтары). 2 половина</t>
  </si>
  <si>
    <t>23. Райта хакебюсиес (конные аркебузеры). 2 половина</t>
  </si>
  <si>
    <t>24. Шварце райта (знаменитые черные рейтары). 2 половина</t>
  </si>
  <si>
    <t>25. Ландскнехьте мит хакенбюксе (с аркебузами). 1 половина</t>
  </si>
  <si>
    <t>26. Ландскнехьте мит хакенбюксе (с аркебузами). 2 половина</t>
  </si>
  <si>
    <t>27. Ритта (средние рыцари оруженосцы). 1 половина</t>
  </si>
  <si>
    <t xml:space="preserve">28. Линслойте (феодалы в тяжелых доспехах). 1 половина </t>
  </si>
  <si>
    <t>29. Кюрасъе (немецкие кирасиры). 2 половина</t>
  </si>
  <si>
    <t>30. Валорене хауфе Швабн ("потерянная надежда", передовой пехотный отряд, авангард, штрафники). Отморозки жесткие в чардже, но слабые по броне. Вооружены огнестрелом). 1 половина</t>
  </si>
  <si>
    <t>31. Валорене хауфе Швабн ("потерянная надежда", передовой пехотный отряд, авангард, штрафники). Отморозки жесткие в чардже, но слабые по броне. Вооружены двуручными мечами). 2 половина</t>
  </si>
  <si>
    <t>32. Арбалетчики (пехота, арбалетчики). 1 половина</t>
  </si>
  <si>
    <t>33. Конные арбалетчки (конные арбалетчики). 1 половина</t>
  </si>
  <si>
    <t>34. Омбрес де арма (латники, средняя кавалерия). 1 половина</t>
  </si>
  <si>
    <t>35. Омбрес де арма (латники, средняя кавалерия). 2 половина</t>
  </si>
  <si>
    <t>36. Пика сека (иберийские легкие пикинеры). 2 половина века</t>
  </si>
  <si>
    <t>37. Страдиоти делла Албаниа (страдиоты Албании с копьем и саблей). 1 половина</t>
  </si>
  <si>
    <t>38. Капо ланче (национальные полубандиты с кавалерийскими копьями). 2 половина</t>
  </si>
  <si>
    <t>39. Ланче спеццате змонтати (спешенные латные всадники). 1 половина</t>
  </si>
  <si>
    <t>40. Кавальери армати алла леджера (национальные легкие всадники). 2 половина</t>
  </si>
  <si>
    <t>41. Вомини д'арме (средние конные латники). 1 половина</t>
  </si>
  <si>
    <t>42. Джентильвомини д'арме (рыцари). 1 половина</t>
  </si>
  <si>
    <t>43. Ланче спеццате (отличные кавалеристы, лучше только французы, миланцы и некоторые отряды голландцев). 1 половина</t>
  </si>
  <si>
    <t>44. Фанти ди аркибуджо (аркебузеры, и их очень много). 1 половина</t>
  </si>
  <si>
    <t>45. Фанти ди аркибуджо (аркебузеры, и их очень много). 2 половина</t>
  </si>
  <si>
    <t>46. Аркибуджери а кавалло (конные аркебузеры). с 1525 года</t>
  </si>
  <si>
    <t>47. Фанти ди москетто (с облегченными мушкетами). С 1570 г.</t>
  </si>
  <si>
    <t>48. ЯЯ башибозук (очень злые в атаке легкие разбойники с отмороженной моралью). 1 и 2  половина</t>
  </si>
  <si>
    <t xml:space="preserve">49. Дели (очень злые в атаке легкие конники с отмороженной моралью и отличной атакой). 1 и 2 половина  </t>
  </si>
  <si>
    <t>50. Азебан-и сувари (легкие конные азапы). 1 и 2 половина</t>
  </si>
  <si>
    <t>51. Татар (легкие конные татары с луками и саблями). 1 половина</t>
  </si>
  <si>
    <t>52. Татар (легкие конные татары с луками и саблями). 1 половина</t>
  </si>
  <si>
    <t>53. Козаки с самопалами (пешие стрелки). 1 половина</t>
  </si>
  <si>
    <t>54. Козаки с самопалами (пешие стрелки). 2 половина</t>
  </si>
  <si>
    <t>55. Козаки (легкая конница, лук, сабля). 1 половина</t>
  </si>
  <si>
    <t>56. Козаки (легкая конница, ружье, сабля). 2 половина</t>
  </si>
  <si>
    <t>57. Бордер хорс рейдерс (пограничные рейдеры с копьем и мечом (грязное, но быстрое отребье). 1 половина</t>
  </si>
  <si>
    <t>58. Бордер хорс рейдерс (пограничные рейдеры с пистолетами (грязное, но быстрое отребье). 2 половина</t>
  </si>
  <si>
    <t>59. Фаеармс Бордер хорс (пограничные рейдеры с аркебузами).с 1548 г.</t>
  </si>
  <si>
    <t>60. Сорти гади (черная стража ландскнехтов с пиками). 1 половина</t>
  </si>
  <si>
    <t>61. Мёсенри Холланд маскетирс (наемные голландские мушкетеры с облегченными мушкетами). с 1570 г.</t>
  </si>
  <si>
    <t>62. Булленерс (тяжелые жандармы из Булони). 1 половина</t>
  </si>
  <si>
    <t>63. Айлэнд гэллоглас клэймо (с двуручными мечами). 1 и 2 половина</t>
  </si>
  <si>
    <t>64. Айлэнд гэллоглас бродекс (с секирами). 1 и 2 половина</t>
  </si>
  <si>
    <t>65. Хайлендерс бродекс (Хайлендеры с двуручными топорами в юбках). 2 половина</t>
  </si>
  <si>
    <t>66. Хайлендерс пайкмен (Хайлендеры пикинеры в юбках).  2 половина</t>
  </si>
  <si>
    <t>67. Лоулендерс клэймо (Лоулендерры с клейморами). 1 и 2 половина</t>
  </si>
  <si>
    <t>68. Марксбрюда (Братство святого Марка" (Marxbrüder). Профессиональная школа фехтовальщиков на длинных мечах. Известна с середины 15 века. Штаб-квартира во Франкфурте. Вооружить можно [b]двуручными мессерами[/b] и сделать мега-монстрами в атаке.)</t>
  </si>
  <si>
    <t>69. Фрайфехьта ("Братство святого Витта" (Freifechter). То же самое, известны с 1570 гг., Штаб-квартира в Праге. Вооружить можно длинным мечом или рапирой, шпагой.)</t>
  </si>
  <si>
    <t>70. Люкасбрюда ("Братство святого Луки (Lukasbrüder). Какие-то чудаки тоже с саблями. Наемники, шлялись по городам)</t>
  </si>
  <si>
    <t>71.</t>
  </si>
  <si>
    <t>72.</t>
  </si>
  <si>
    <t>73.</t>
  </si>
  <si>
    <t>74.</t>
  </si>
  <si>
    <t>75.</t>
  </si>
  <si>
    <t>76.</t>
  </si>
  <si>
    <t>Русское название</t>
  </si>
  <si>
    <t>Название в EDU</t>
  </si>
  <si>
    <t>фракция</t>
  </si>
  <si>
    <t>тип юнита</t>
  </si>
  <si>
    <t>город/замок</t>
  </si>
  <si>
    <t>постройка</t>
  </si>
  <si>
    <t>провинция</t>
  </si>
  <si>
    <t>скрытый ресурс</t>
  </si>
  <si>
    <t>год с</t>
  </si>
  <si>
    <t>год до</t>
  </si>
  <si>
    <t>скорость</t>
  </si>
  <si>
    <t>аттака (дал/бл)</t>
  </si>
  <si>
    <t>броня</t>
  </si>
  <si>
    <t>щит</t>
  </si>
  <si>
    <t>боевой дух</t>
  </si>
  <si>
    <t>боезапас</t>
  </si>
  <si>
    <t>приоритет в найме</t>
  </si>
  <si>
    <t>цена</t>
  </si>
  <si>
    <t>содержание</t>
  </si>
  <si>
    <t>Пример (крестьяне)</t>
  </si>
  <si>
    <t>Peasent</t>
  </si>
  <si>
    <t>все</t>
  </si>
  <si>
    <t>ополчение, легкая пехота, копье</t>
  </si>
  <si>
    <t>город и замок</t>
  </si>
  <si>
    <t>фермы</t>
  </si>
  <si>
    <t>1.01</t>
  </si>
  <si>
    <t>5</t>
  </si>
  <si>
    <t>1</t>
  </si>
  <si>
    <t>0</t>
  </si>
  <si>
    <t>3</t>
  </si>
  <si>
    <t>-30</t>
  </si>
  <si>
    <t>200</t>
  </si>
  <si>
    <t>50</t>
  </si>
  <si>
    <t>порт</t>
  </si>
  <si>
    <t>легкий корабль</t>
  </si>
  <si>
    <t>тяжелый корабль</t>
  </si>
  <si>
    <t>Кулеврина</t>
  </si>
  <si>
    <t>Осадное орудие</t>
  </si>
  <si>
    <t>Фальконет</t>
  </si>
  <si>
    <t>Рибодекин</t>
  </si>
  <si>
    <t>Полевое ружье</t>
  </si>
  <si>
    <t>Эпоха</t>
  </si>
  <si>
    <t>Тяжелое осадное орудие</t>
  </si>
  <si>
    <t>Легкое полевое орудие</t>
  </si>
  <si>
    <t>1 половина</t>
  </si>
  <si>
    <t>2 половина</t>
  </si>
  <si>
    <t>замок</t>
  </si>
  <si>
    <t>город</t>
  </si>
  <si>
    <t>крепостной арсенал</t>
  </si>
  <si>
    <t>Западная Европа</t>
  </si>
  <si>
    <t>Восточная Европа</t>
  </si>
  <si>
    <t>Исламский Восток</t>
  </si>
  <si>
    <t>Строй</t>
  </si>
  <si>
    <t>рассыпной</t>
  </si>
  <si>
    <t>нет</t>
  </si>
  <si>
    <t>Франция</t>
  </si>
  <si>
    <t>двуручный меч</t>
  </si>
  <si>
    <t>апгрейд 1</t>
  </si>
  <si>
    <t>апгрейд 2</t>
  </si>
  <si>
    <t>апгрейд 3</t>
  </si>
  <si>
    <t>шлем</t>
  </si>
  <si>
    <t>Вербовочный пункт</t>
  </si>
  <si>
    <t>баталия</t>
  </si>
  <si>
    <t>пика</t>
  </si>
  <si>
    <t>Городская ратуша</t>
  </si>
  <si>
    <t>алебарда</t>
  </si>
  <si>
    <t>казармы</t>
  </si>
  <si>
    <t>Тяжелая пехота, отличная мораль и характеристики, гвардия</t>
  </si>
  <si>
    <t>Дворянские конюшни</t>
  </si>
  <si>
    <t>Средняя конница с копьями</t>
  </si>
  <si>
    <t>плотный</t>
  </si>
  <si>
    <t>полный доспех</t>
  </si>
  <si>
    <t>Тяжелая конница</t>
  </si>
  <si>
    <t>максимилиан</t>
  </si>
  <si>
    <t>наковальня</t>
  </si>
  <si>
    <t>городское стрельбище</t>
  </si>
  <si>
    <t>Тяжелая конница, охрана генерала</t>
  </si>
  <si>
    <t>Тяжелая конница, гвардия</t>
  </si>
  <si>
    <t>Гасконь</t>
  </si>
  <si>
    <t>Шампань, Пикардия</t>
  </si>
  <si>
    <t>Пикардия</t>
  </si>
  <si>
    <t>Лангедок</t>
  </si>
  <si>
    <t>Дофинэ</t>
  </si>
  <si>
    <t>Овернь</t>
  </si>
  <si>
    <t>Шампань</t>
  </si>
  <si>
    <t>Орлеан</t>
  </si>
  <si>
    <t>Пьемонт</t>
  </si>
  <si>
    <t>Савойя</t>
  </si>
  <si>
    <t>Пешее ополчение</t>
  </si>
  <si>
    <t>топорик</t>
  </si>
  <si>
    <t>дубинка</t>
  </si>
  <si>
    <t>Испания</t>
  </si>
  <si>
    <t>вербовочный пункт</t>
  </si>
  <si>
    <t>Испания, Италия</t>
  </si>
  <si>
    <t>кавалерийское копье</t>
  </si>
  <si>
    <t>Легкая конница</t>
  </si>
  <si>
    <t>кольчуга</t>
  </si>
  <si>
    <t>Каталония</t>
  </si>
  <si>
    <t>15. Корасеро де Кастийя (рыцари). 2 половина</t>
  </si>
  <si>
    <t>Кастилия</t>
  </si>
  <si>
    <t>крепостной плац</t>
  </si>
  <si>
    <t>1 и 2 половины</t>
  </si>
  <si>
    <t>торчащие лезвия</t>
  </si>
  <si>
    <t>Леон</t>
  </si>
  <si>
    <t>Легкая пехота</t>
  </si>
  <si>
    <t>меч</t>
  </si>
  <si>
    <t>Средняя пехота, пикинеры</t>
  </si>
  <si>
    <t>Португалия</t>
  </si>
  <si>
    <t>Тяжелая пехота с гранатами</t>
  </si>
  <si>
    <t>Средняя пехота с аркебузами</t>
  </si>
  <si>
    <t>Легкая пехота, пикинеры</t>
  </si>
  <si>
    <t>Швейцария</t>
  </si>
  <si>
    <t>Цуг</t>
  </si>
  <si>
    <t>Средняя пехота, алебардеры</t>
  </si>
  <si>
    <t>Берн</t>
  </si>
  <si>
    <t>Ури</t>
  </si>
  <si>
    <t>Унтервальден</t>
  </si>
  <si>
    <t>тяжелые_3/4</t>
  </si>
  <si>
    <t>Тяжелая пехота, пикинеры</t>
  </si>
  <si>
    <t>Швиц</t>
  </si>
  <si>
    <t>Легкая пехота, аркебузеры</t>
  </si>
  <si>
    <t>Египет</t>
  </si>
  <si>
    <t>Восточные Конюшни</t>
  </si>
  <si>
    <t>восточные казармы</t>
  </si>
  <si>
    <t>полевое орудие</t>
  </si>
  <si>
    <t>Ополчение с пиками</t>
  </si>
  <si>
    <t>Турция</t>
  </si>
  <si>
    <t>Легкая пехота с копьями</t>
  </si>
  <si>
    <t>копье</t>
  </si>
  <si>
    <t>Анатолия</t>
  </si>
  <si>
    <t>Анатолия и восток</t>
  </si>
  <si>
    <t>Балканы и Европа</t>
  </si>
  <si>
    <t>двуручная секира</t>
  </si>
  <si>
    <t>Восточные конюшни</t>
  </si>
  <si>
    <t>легкая пехота, янычары с мушкетами</t>
  </si>
  <si>
    <t>Стамбул</t>
  </si>
  <si>
    <t>6. Замбураки (верблюды с легким орудием на спине). 1 и 2 половина</t>
  </si>
  <si>
    <t xml:space="preserve">5. Абид-нафтия (видимо метатели огня). 1 и 2 половина </t>
  </si>
  <si>
    <t>4. Мамлюк ([b]Генерал[/b], мамлюки). 1 и 2 половина</t>
  </si>
  <si>
    <t xml:space="preserve">3. Туркменские пешие аркебузеры. 1 и 2 половина </t>
  </si>
  <si>
    <t>2. Магрибские пешие аркебузеры. 1 и 2 половина</t>
  </si>
  <si>
    <t>1. Мамлюк (мамлюки). 1 и 2 половина</t>
  </si>
  <si>
    <t>средняя пехота, янычары с арбалетами</t>
  </si>
  <si>
    <t>легкая пехота с луками</t>
  </si>
  <si>
    <t>восточный тяжелый_3/4</t>
  </si>
  <si>
    <t>дворец султана</t>
  </si>
  <si>
    <t>Швеция</t>
  </si>
  <si>
    <t>Вестергётланд</t>
  </si>
  <si>
    <t>Уппланд</t>
  </si>
  <si>
    <t>Стокгольм</t>
  </si>
  <si>
    <t>Средняя конница с пистолетами</t>
  </si>
  <si>
    <t>Тяжелая конница с копьями</t>
  </si>
  <si>
    <t>10. Фяника рор индельта. с 1563 г.</t>
  </si>
  <si>
    <t xml:space="preserve">11. Хакехиттар индельта Упланд (легкие мушкеты). с 1570 г. </t>
  </si>
  <si>
    <t>Легкая пехота, мушкетеры</t>
  </si>
  <si>
    <t>Тяжелая конница с пистолетами</t>
  </si>
  <si>
    <t>16. Фяника Фёрлораде хопен ("последняя надежда", пеший авангард). с 1563 г.</t>
  </si>
  <si>
    <t>Легкая конница с копьями</t>
  </si>
  <si>
    <t>Пешее ополчение с косами</t>
  </si>
  <si>
    <t>коса</t>
  </si>
  <si>
    <t>Дания</t>
  </si>
  <si>
    <t>Копенгаген</t>
  </si>
  <si>
    <t>Семнадцать провинций (Бургундия и Нидерланды)</t>
  </si>
  <si>
    <t>Пешее ополчение с баграми</t>
  </si>
  <si>
    <t>багор</t>
  </si>
  <si>
    <t>Нидерланды</t>
  </si>
  <si>
    <t>Англия</t>
  </si>
  <si>
    <t>полупика</t>
  </si>
  <si>
    <t>билл</t>
  </si>
  <si>
    <t>Смоланд</t>
  </si>
  <si>
    <t>ратуша</t>
  </si>
  <si>
    <t>Лондон</t>
  </si>
  <si>
    <t>одноручный топор</t>
  </si>
  <si>
    <t>Уэльс</t>
  </si>
  <si>
    <t>дворец</t>
  </si>
  <si>
    <t>Венеция</t>
  </si>
  <si>
    <t>Средняя пехота с гранатами</t>
  </si>
  <si>
    <t>Средняя пехота с вертлюжными пушками</t>
  </si>
  <si>
    <t>Пешие рыцари с эспантонами</t>
  </si>
  <si>
    <t>Легкая конница с копьем и булавой</t>
  </si>
  <si>
    <t>Венеция (столица)</t>
  </si>
  <si>
    <t xml:space="preserve">Легкая конница с дротиками и саблей </t>
  </si>
  <si>
    <t>Легкая пехота с дротиками</t>
  </si>
  <si>
    <t>Средняя конница, пистолетчики</t>
  </si>
  <si>
    <t>Алжир</t>
  </si>
  <si>
    <t>Тунис (столица)</t>
  </si>
  <si>
    <t>Школа фехтования</t>
  </si>
  <si>
    <t>королевские конюшни</t>
  </si>
  <si>
    <t>Шотландия</t>
  </si>
  <si>
    <t>Лоулендерс пайкмен (Лоулендеры пикинеры)</t>
  </si>
  <si>
    <t>Тяжелая пехота</t>
  </si>
  <si>
    <t>Дублин</t>
  </si>
  <si>
    <t>Средняя конница</t>
  </si>
  <si>
    <t>Легкая пехота с пистолетами</t>
  </si>
  <si>
    <t>Гильдия воров</t>
  </si>
  <si>
    <t>Легкая пехота с аркебузами</t>
  </si>
  <si>
    <t>боевые цепы</t>
  </si>
  <si>
    <t>вилы</t>
  </si>
  <si>
    <t>Купеческая гильдия</t>
  </si>
  <si>
    <t>Тяжелая пехота, охрана генерала</t>
  </si>
  <si>
    <t>Швабская лига</t>
  </si>
  <si>
    <t>Запорожская Сечь</t>
  </si>
  <si>
    <t>Испания (столица)</t>
  </si>
  <si>
    <t>Эстергётланд</t>
  </si>
  <si>
    <t>Наемник</t>
  </si>
  <si>
    <t>наемник</t>
  </si>
  <si>
    <t>Франция, Италия, Германия</t>
  </si>
  <si>
    <t>альшпис</t>
  </si>
  <si>
    <t>Конные аркебузеры</t>
  </si>
  <si>
    <t>Италия, Германия, Балканы</t>
  </si>
  <si>
    <t>Италия</t>
  </si>
  <si>
    <t>Мушкетеры с облегченными мушкетами</t>
  </si>
  <si>
    <t>ятаган</t>
  </si>
  <si>
    <t>Анатолия, Балканы, Египет</t>
  </si>
  <si>
    <t>Франция, Италия, Голландия</t>
  </si>
  <si>
    <t>Франция, Германия, Скандинавия, Голландия, восточная Европа</t>
  </si>
  <si>
    <t>Франция, Италия, Испания, Германия, Скандинавия,  Голландия, Британские острова, Испания, восточная Европа</t>
  </si>
  <si>
    <t>Британские острова</t>
  </si>
  <si>
    <t>Легкая конница с аркебузами</t>
  </si>
  <si>
    <t>Скандинавия</t>
  </si>
  <si>
    <t>Британские острова, Скандинавия, Северная Германия</t>
  </si>
  <si>
    <t>клеймора</t>
  </si>
  <si>
    <t>Северная Франция, Голландия</t>
  </si>
  <si>
    <t>Британские острова, Франция, Скандинавия, Северная Германия, Восточная Европа</t>
  </si>
  <si>
    <t>кольчужные полосы</t>
  </si>
  <si>
    <t>двуручный мессер</t>
  </si>
  <si>
    <t>Германия (Франкфурт)</t>
  </si>
  <si>
    <t>кираса</t>
  </si>
  <si>
    <t>Сверхлегкое полевое орудие</t>
  </si>
  <si>
    <t>мече-копье</t>
  </si>
  <si>
    <t>Пешее ополчение со спец оружием</t>
  </si>
  <si>
    <t>Доспех коня</t>
  </si>
  <si>
    <t>да</t>
  </si>
  <si>
    <t>готический доспех</t>
  </si>
  <si>
    <t>выносливость</t>
  </si>
  <si>
    <t>Россия</t>
  </si>
  <si>
    <t>дворянские конюшни</t>
  </si>
  <si>
    <t>Юг России</t>
  </si>
  <si>
    <t>Средняя пехота с луками</t>
  </si>
  <si>
    <t>Средняя конница с луками</t>
  </si>
  <si>
    <t>Москва</t>
  </si>
  <si>
    <t>юшман</t>
  </si>
  <si>
    <t>Гильдия братства черноголовых</t>
  </si>
  <si>
    <t>сверх тяжелый корабль</t>
  </si>
  <si>
    <t>Северная Африка</t>
  </si>
  <si>
    <t>Пешее ополчение с аркебузами</t>
  </si>
  <si>
    <t>Босхёйзе ("Лесные гёзы")</t>
  </si>
  <si>
    <t>гоод</t>
  </si>
  <si>
    <t>Средняя пехота, пикенеры</t>
  </si>
  <si>
    <t>Тяжелая пехота, пикенеры</t>
  </si>
  <si>
    <t>Ватерхёйзе ("Морские гёзы")</t>
  </si>
  <si>
    <t>Средняя пехота, мушкетеры</t>
  </si>
  <si>
    <t>замок/город</t>
  </si>
  <si>
    <t>Флоренция</t>
  </si>
  <si>
    <t>Средняя пехота, пикинеры (одетых в белые дублеты, пару белых и красных форменных чулок, белые береты и сандалии (а ля чешки ландскнехтов=))</t>
  </si>
  <si>
    <t>Флоренция (столица)</t>
  </si>
  <si>
    <t>Милан</t>
  </si>
  <si>
    <t>Милан (столица)</t>
  </si>
  <si>
    <t>Рим (столица)</t>
  </si>
  <si>
    <t>Легкая конница с луками</t>
  </si>
  <si>
    <t>Турция, Египет</t>
  </si>
  <si>
    <t>средняя пехота, янычары с луками</t>
  </si>
  <si>
    <t>Средняя пехота, гвизармеры</t>
  </si>
  <si>
    <t>гвизарма</t>
  </si>
  <si>
    <t>Средняя пехота с гвизармами</t>
  </si>
  <si>
    <t>Италия (Болонья)</t>
  </si>
  <si>
    <t>Франция (Париж)</t>
  </si>
  <si>
    <t>средний корабль</t>
  </si>
  <si>
    <t>Испания (Барселона)</t>
  </si>
  <si>
    <t>Средняя конница, охрана генерала</t>
  </si>
  <si>
    <t>Крым</t>
  </si>
  <si>
    <t>кольчуга, шлем</t>
  </si>
  <si>
    <t>Крым (столица)</t>
  </si>
  <si>
    <t>восточные конюшни</t>
  </si>
  <si>
    <t>Охрана генерала, средняя конница с копьем</t>
  </si>
  <si>
    <t>Охрана генерала, средняя конница с самопалом</t>
  </si>
  <si>
    <t>Ополчение с копьями</t>
  </si>
  <si>
    <t>фламберг</t>
  </si>
  <si>
    <t>Пешее ополчение с арбалетами</t>
  </si>
  <si>
    <t>Средняя пехота с алебардами</t>
  </si>
  <si>
    <t>кираса, шлем</t>
  </si>
  <si>
    <t>Кашуби (Кашубы)</t>
  </si>
  <si>
    <t>Добры боярув (Путные бояре)</t>
  </si>
  <si>
    <t>Средняя конница с луком</t>
  </si>
  <si>
    <t>кираса, шлем, наручи</t>
  </si>
  <si>
    <t xml:space="preserve">Средне-тяжелая конница с пиками </t>
  </si>
  <si>
    <t>Панови хоруговны ("Паны Хоруговные")</t>
  </si>
  <si>
    <t>легкая пехота, аркебузеры</t>
  </si>
  <si>
    <t>Драбы з рушницами (Драбы с аркебузами)</t>
  </si>
  <si>
    <t>Драби з вужнями (Драбы с копьями)</t>
  </si>
  <si>
    <t>Драби з кушами (Драбы с арбалетами)</t>
  </si>
  <si>
    <t>Пехота выбранецька з аркебузем (Выбранецкая пехота с аркебузами)</t>
  </si>
  <si>
    <t>Пешее ополчение с алебардами</t>
  </si>
  <si>
    <t>средняя пехота с алебардами</t>
  </si>
  <si>
    <t>Тейсмо пестининкае (Надворная пехота литовских князей)</t>
  </si>
  <si>
    <t>тяжелая пехота с алебардами</t>
  </si>
  <si>
    <t>Сарвуотас драбаи (Тяжелые Драбы с алебардами)</t>
  </si>
  <si>
    <t>Региструоти казокаи (Реестровые казаки на службе Литвы)</t>
  </si>
  <si>
    <t>Тоториаи Липки (Татары Липки)</t>
  </si>
  <si>
    <t>Пятигорскас (Пятигорцы)</t>
  </si>
  <si>
    <t>Королевство Польша и Великое княжество литовское</t>
  </si>
  <si>
    <t>Великое княжество литовское (только в Украине)</t>
  </si>
  <si>
    <t>Коммюнольтэ (Французское ополчение)</t>
  </si>
  <si>
    <t>Гаскон а пик (Пикинеры Гаскони)</t>
  </si>
  <si>
    <t>Режимон д'пье а пик (Вербованый полк с пиками)</t>
  </si>
  <si>
    <t>Вьё банд Шево-лежи (Легкая конница старых банд)</t>
  </si>
  <si>
    <t>Арше д'ордононс грон (Лучники ордонансных рот)</t>
  </si>
  <si>
    <t>Жондарм д'ордононс Пикарди (Ордонансовые жандармы Пикардии)</t>
  </si>
  <si>
    <t>Кираcсье д'ордононс Лангедок (Кирасирский полк Лангедока)</t>
  </si>
  <si>
    <t>Жондарм д'ордононс Дофинэ (Ордонансовые жандармы Дофинэ)</t>
  </si>
  <si>
    <t>Кираcсье д'ордононс Овернь (Кирасирский полк Оверни)</t>
  </si>
  <si>
    <t>Жондарм д'ордононс Шомпань (Ордонансовые жандармы Шампань)</t>
  </si>
  <si>
    <t>Кираcсье д'ордононс Орлеон (Кирасирский полк Орлеана)</t>
  </si>
  <si>
    <t>Жондарм д'ордононс Пьемон (Ордонансовые жандармы Пьемонта)</t>
  </si>
  <si>
    <t>Кираcсье д'ордононс Савой (Кирасирский полк Савойи)</t>
  </si>
  <si>
    <t>Аркебюзье фронсэс (Аркебузеры Франции)</t>
  </si>
  <si>
    <t>Мускетэр лежи (Мушкетеры с облегченными мушкетами)</t>
  </si>
  <si>
    <t>Жантильомм о бек дё корбен (Генерал, Рота "вороньего клюва")</t>
  </si>
  <si>
    <t xml:space="preserve">Бандидос (Испанские бандиты)  </t>
  </si>
  <si>
    <t>Пика сека дель Коронейя (Пикинеры испанских коронелл)</t>
  </si>
  <si>
    <t>Пика сека дель Терсио (Пикинеры испанских терций)</t>
  </si>
  <si>
    <t>Гранадерос дель Терсио де Армада (Пехота морской терции с гранатами)</t>
  </si>
  <si>
    <t>Омбрес де арма дезмонтадо (Спешеные испанские латники)</t>
  </si>
  <si>
    <t>Алабардерос дель Коронейя (Алебардеры испанских коронелл)</t>
  </si>
  <si>
    <t>Кавайос де ланса (Испанские конные лансеры)</t>
  </si>
  <si>
    <t>Омбрес де арма де Каталунья (Рыцари Каталонии)</t>
  </si>
  <si>
    <t>Корасеро де Кастийя (Кирасиры Кастилии)</t>
  </si>
  <si>
    <t>Аркабусерос (Испанские аркебузеры)</t>
  </si>
  <si>
    <t>Тудескос кон алабарда (Немецкая гвардия с алебардами)</t>
  </si>
  <si>
    <t>Карро де герра (Боевые повозки)</t>
  </si>
  <si>
    <t>Замбураки (Верблюды с легкими орудиями)</t>
  </si>
  <si>
    <t>Бурюме сипахи тимар юрюерек (Спешенные сипахи)</t>
  </si>
  <si>
    <t>Акинджи (Легкая турецкая конница)</t>
  </si>
  <si>
    <t>Бурюме тимар Анадолу (Сипахи Анатолии)</t>
  </si>
  <si>
    <t>Джебе тимар Анадолу (Сипахи Анатолии)</t>
  </si>
  <si>
    <t>Геджим сипахи тимар Румели (Сипахи Румелии)</t>
  </si>
  <si>
    <t>Ени чери-тюфенкчи (Янычары с мушкетами</t>
  </si>
  <si>
    <t>Ени чери-татар яйи (Янычары с арбалетами)</t>
  </si>
  <si>
    <t>Ени чери солаки (Янычары с луками)</t>
  </si>
  <si>
    <t>Азапи солаки (Азапы с луками)</t>
  </si>
  <si>
    <t>Ясакчи (Дворцовые янычары)</t>
  </si>
  <si>
    <t>Гуреба-и йесар (Генерал, Конная гвардия Султана)</t>
  </si>
  <si>
    <t>Гуреба-и йемин (Генерал, Конная гвардия Султана)</t>
  </si>
  <si>
    <t>Улуфели-и (Конная гвардия дома Султана)</t>
  </si>
  <si>
    <t>ЯЯ Осман (Легкая пехота Порты)</t>
  </si>
  <si>
    <t>Азапи (Азапы-ополченцы с пиками)</t>
  </si>
  <si>
    <t>Силадар (Конные янычары)</t>
  </si>
  <si>
    <t>средняя пехота, янычары с мушкетами</t>
  </si>
  <si>
    <t>Милиция мейска (Польское ополчение)</t>
  </si>
  <si>
    <t>Милиция мейска (Польское ополчение с аркебузами)</t>
  </si>
  <si>
    <t>Драби з халабардами (Драбы с алебардами)</t>
  </si>
  <si>
    <t>Боярув панцерных ступ (Спешенные панцерные бояре )</t>
  </si>
  <si>
    <t>Лекки хусария (Легкие гусары Польши)</t>
  </si>
  <si>
    <t>Стшалы коня (Конные аркебузеры)</t>
  </si>
  <si>
    <t>Боярув панцерных (Панцерные бояре)</t>
  </si>
  <si>
    <t>Хусария (Польские гусары)</t>
  </si>
  <si>
    <t>Козацы панцерни з луками (Панцерные казаки)</t>
  </si>
  <si>
    <t>Скшидлате хусария (Крылатые гусары)</t>
  </si>
  <si>
    <t>Онис беллатор (Братья ордена с огеметами)</t>
  </si>
  <si>
    <t>Двур крулевски (Генерал, Королевский двор)</t>
  </si>
  <si>
    <t>Боевые холопы (Конные слуги)</t>
  </si>
  <si>
    <t>Станичные казаки (Казацкая конница)</t>
  </si>
  <si>
    <t>Служилые дворяне (Дворянская конница)</t>
  </si>
  <si>
    <t>Дети боярские (Конные "дети боярские")</t>
  </si>
  <si>
    <t>Выборная рать (Отборная копейная конница)</t>
  </si>
  <si>
    <t>Пищальники (Пехота с пищалями)</t>
  </si>
  <si>
    <t>Городовые стрельцы (Пехота с аркебузами)</t>
  </si>
  <si>
    <t>Государев полк (Генерал, Конная гвардия)</t>
  </si>
  <si>
    <t>Стремянные стрельцы (Конная царская гвардия)</t>
  </si>
  <si>
    <t>Рынды (Пешая царская гвардия)</t>
  </si>
  <si>
    <t>Миесто милиция (Литовское ополчение)</t>
  </si>
  <si>
    <t>Почт Гетьмана (Генерал, Княжеская свита)</t>
  </si>
  <si>
    <t>Милис стадсбор (Ополчение провинций)</t>
  </si>
  <si>
    <t>Хэппсрегементет рондаш (Корабельный полк)</t>
  </si>
  <si>
    <t xml:space="preserve"> Фяника индельта Вестергётланд (Пикинеры Вестергётланда)</t>
  </si>
  <si>
    <t>Фяника индельта Уппланд (Мечники Уппланда)</t>
  </si>
  <si>
    <t>Фяника индельта Смоланд (Алебардеры Смоланда)</t>
  </si>
  <si>
    <t>Гордсфяника (Пешая гвардия с пиками)</t>
  </si>
  <si>
    <t>Ландсриттаре индельта (Провинциальные рейтары)</t>
  </si>
  <si>
    <t>Адельсфана (Ополчение знати)</t>
  </si>
  <si>
    <t>Адельсфана Кальмар (Генерал, Королевская гвардия)</t>
  </si>
  <si>
    <t>Ховфана (Генерал, Собственный полк короля)</t>
  </si>
  <si>
    <t>Фяника рор индельта (Шведские аркебузеры)</t>
  </si>
  <si>
    <t>Хакехиттар индельта Эстергётланд (Мушкетеры Эстергётланда)</t>
  </si>
  <si>
    <t>Сварта риттарна (Черные рейтары)</t>
  </si>
  <si>
    <t>Фёрлораде хопен (Конный авангард "последней надежды")</t>
  </si>
  <si>
    <t xml:space="preserve"> Фяника Фёрлораде хопен (Пеший аванград "последней надежды")</t>
  </si>
  <si>
    <t>Упбод (Крестьянское ополчение)</t>
  </si>
  <si>
    <t>Флодсельскэб пэнсрат (Тяжелая корабельная рота)</t>
  </si>
  <si>
    <t>Элсхуттари (Конное ополчение дворян)</t>
  </si>
  <si>
    <t>Консхоф (Генерал, Конная гвардия короля)</t>
  </si>
  <si>
    <t>Стадсмилици (Городское ополчение)</t>
  </si>
  <si>
    <t>Пикенирс ван хоупе (Неодоспешенные голландские пикинеры)</t>
  </si>
  <si>
    <t>Пикенирс ван вандл (Голландские пикенеры)</t>
  </si>
  <si>
    <t>Пикенирс ван вандрихь (Голландские пикинеры первых шеренг)</t>
  </si>
  <si>
    <t>Хакбюсхюттерс (Голландские аркебузеры)</t>
  </si>
  <si>
    <t>Мюскетирc (Голландские мушкетеры)</t>
  </si>
  <si>
    <t>Карабиньери (Голландские конные аркебузеры)</t>
  </si>
  <si>
    <t>Роутеряй (Голландские конные лансеры)</t>
  </si>
  <si>
    <t>Бурхундисе хендарме (Бургундские жандармы)</t>
  </si>
  <si>
    <t>Бурхундисе кюрассирс (Бургундские кирасиры)</t>
  </si>
  <si>
    <t>Статхаудер бувакер (Генерал, Гвардия Штатгальтера)</t>
  </si>
  <si>
    <t>Бордер свордс трупс (Пограничные банды)</t>
  </si>
  <si>
    <t>Роад робберс (Бандиты с трактов)</t>
  </si>
  <si>
    <t>Трейнед бэндс пайкс (Регулярный полк пикинеров)</t>
  </si>
  <si>
    <t>Милиша Ландн пайкс (Ополчение Лондона с пиками)</t>
  </si>
  <si>
    <t>Фут Мен-эт-армс (Пешие латники)</t>
  </si>
  <si>
    <t>Деми-лансерс (Деми-лансеры)</t>
  </si>
  <si>
    <t>Рейтерс (Английские рейтары)</t>
  </si>
  <si>
    <t>Мен-эт-армс Джентри (Конные латники)</t>
  </si>
  <si>
    <t>Фаеармс Милиша урбан ( Ополчение городов с аркебузами)</t>
  </si>
  <si>
    <t xml:space="preserve"> Фаеармс Трейнед бэндс (Регулярный полк аркебузеров)</t>
  </si>
  <si>
    <t>Маскетирс Трейнед бэндс (Регулярная рота мушкетеров )</t>
  </si>
  <si>
    <t>Кроссбоу бордер хорс (Конные пограничные рейдеры)</t>
  </si>
  <si>
    <t>Сейлорс боу реджимент (Лучники морского полка)</t>
  </si>
  <si>
    <t>Йомен гард реджимент (Генерал, Конная гвардия короля)</t>
  </si>
  <si>
    <t>Йомен гард (Пешая гвардия короля)</t>
  </si>
  <si>
    <t>Милиция ди Папа (Ополчение папских земель)</t>
  </si>
  <si>
    <t>Гуардиа звиццера понтифича (Швейцарская гвардия Папы)</t>
  </si>
  <si>
    <t>Комунита рурали (Ополчение сельских общин)</t>
  </si>
  <si>
    <t>Милиция читтадина (Городское ополчение)</t>
  </si>
  <si>
    <t>Балестриери Ломбарди (Ломбардские арбалетчики)</t>
  </si>
  <si>
    <t>Фамилье миланези (Знатные семьи Милана)</t>
  </si>
  <si>
    <t>Ланче спеццате ди Милано ("Сломанные копья" Милана)</t>
  </si>
  <si>
    <t>Секуито а пьеди дель дука (Пешая свита герцога)</t>
  </si>
  <si>
    <t>Секуито дель дука (Генерал, Свита герцога)</t>
  </si>
  <si>
    <t>Галеотти (Освобожденные преступники)</t>
  </si>
  <si>
    <t>Контадини алла Флотта (Венецианские моряки)</t>
  </si>
  <si>
    <t>Черни-де Терраферма (Ополчение предместий)</t>
  </si>
  <si>
    <t>Колонелли ди популани (Городское ополчение)</t>
  </si>
  <si>
    <t>Фанти ди Марина (Морская пехота Венеции)</t>
  </si>
  <si>
    <t>Бомбардьери ди фуоко делла Марина (Морская пехота с гранатами)</t>
  </si>
  <si>
    <t>Бомбардьери ди Марина (Морская пехота с вертлюжными пушками)</t>
  </si>
  <si>
    <t>Джентильвомини алла Флотта (Рыцари морской пехоты)</t>
  </si>
  <si>
    <t>Страдиоти делла Греча (Страдиоты Греции)</t>
  </si>
  <si>
    <t>Страдиоти делла Кроациа (Страдиоты Хорватии)</t>
  </si>
  <si>
    <t>Патрици а кавалло (Генерал, Конные патриции)</t>
  </si>
  <si>
    <t>Арчиери алла Флотта (Лучники морской пехоты)</t>
  </si>
  <si>
    <t>Бризигельлези (Элитные пикинеры из Бризелло)</t>
  </si>
  <si>
    <t>Пистольери а кавалло (Конные пистолетчики)</t>
  </si>
  <si>
    <t>Контадо милиция (Ополчение предместий)</t>
  </si>
  <si>
    <t>Милиция комуне (Ополчение городских коммун)</t>
  </si>
  <si>
    <t>Милиция Макиавэлли (Милиция Макиавелли)</t>
  </si>
  <si>
    <t>Гуардиа дель канчелло (Стража городских ворот)</t>
  </si>
  <si>
    <t>Гуардиа дель дука (Генерал, Гвардия герцога)</t>
  </si>
  <si>
    <t>Шварцхёйпта (Братство черноголовых)</t>
  </si>
  <si>
    <t>Катеранс (Ополчение шотландских земель)</t>
  </si>
  <si>
    <t>Френч инстракта-пайкмен (Французские инструкторы-пикинеры)</t>
  </si>
  <si>
    <t>Нойбилити пайкмен (Шотландская знать - пикинеры)</t>
  </si>
  <si>
    <t>Нойблс (Конная знать)</t>
  </si>
  <si>
    <t>Хайлендерс робберс (Дорожные разбойники с пистолетами)</t>
  </si>
  <si>
    <t>Фаеармс лоулендерс (Лоулендеры с аркебузами)</t>
  </si>
  <si>
    <t>Фут кингс гард (Генерал, Пешая королевская гвардия с пиками)</t>
  </si>
  <si>
    <t>Кингс гард (Генерал, Конная королевская гвардия)</t>
  </si>
  <si>
    <t>Бауан (Крестьяне)</t>
  </si>
  <si>
    <t>Байестерос де кавайо (Пиренейские конные арбалетчики)</t>
  </si>
  <si>
    <t>Вьё банд Пикарди (Старая банда Пикардии, пикинеры)</t>
  </si>
  <si>
    <t>Вьё банд Пьемон (Старая банда Пьемонта, алебардеры)</t>
  </si>
  <si>
    <t>Жондарм д'пье (Спешеннные французские жандармы)</t>
  </si>
  <si>
    <t>Анфан пердю аркебюз ("Потерянные дети", аркебузеры)</t>
  </si>
  <si>
    <t>Бенде бьянке ("Белые повязки", итальянские аркебузеры)</t>
  </si>
  <si>
    <t>Фусритта (Спешенные немецкие рыцари)</t>
  </si>
  <si>
    <t>Омбрес де арма (Испанские конные латники)</t>
  </si>
  <si>
    <t>Страдиоти делла Албаниа (Страдиоты Албании)</t>
  </si>
  <si>
    <t>Капо ланче (Итальянские конные лансеры</t>
  </si>
  <si>
    <t>Кондотьери (Кондотьеры, конные латники)</t>
  </si>
  <si>
    <t>Джентильвомини д'арме (Конная знать Италии)</t>
  </si>
  <si>
    <t>Ланче спеццате змонтати (Спешенные "Сломанные копья")</t>
  </si>
  <si>
    <t>Ланче спеццате ("Сломанные копья")</t>
  </si>
  <si>
    <t>Бенде нере ди аркибуджо ("Черные повязки" с аркебузами)</t>
  </si>
  <si>
    <t>Фанти ди аркибуджо (Итальянские аркебузеры)</t>
  </si>
  <si>
    <t>Бенде нере а кавалло ("Черные повязки", конные аркебузеры)</t>
  </si>
  <si>
    <t>Аркибуджери а кавалло (Конные аркебузеры)</t>
  </si>
  <si>
    <t>Фанти ди москетто (Итальянские мушкетеры)</t>
  </si>
  <si>
    <t>Фанти кон гуизарма (Итальянские наемники с гвизармами)</t>
  </si>
  <si>
    <t>ЯЯ башибозук (Исламские башибузуки)</t>
  </si>
  <si>
    <t>Дели (Турецкие "Дели")</t>
  </si>
  <si>
    <t>Азебан-и сувари (Конные азапы)</t>
  </si>
  <si>
    <t xml:space="preserve">Махзания ("Главные люди", марокканская конница)
</t>
  </si>
  <si>
    <t>Валахи конны (Валашская конница)</t>
  </si>
  <si>
    <t>Козаки с самопалами (Пешие казацкие стрелки)</t>
  </si>
  <si>
    <t>Козаки (Легкая казацкая конница)</t>
  </si>
  <si>
    <t>Донские козаки (Легкая казацкая конница)</t>
  </si>
  <si>
    <t>Бордер хорс рейдерс (Конные пограничные рейдеры)</t>
  </si>
  <si>
    <t>Фаеармс Бордер хорс (Конные пограничные рейдеры с аркебузами)</t>
  </si>
  <si>
    <t>Вален (Валлонские пикинеры)</t>
  </si>
  <si>
    <t>Булленерс (Тяжелые жандармы из Булони)</t>
  </si>
  <si>
    <t>Хайлендерс пайкмен (Шотландские "Хайлендеры", пикинеры)</t>
  </si>
  <si>
    <t>Лоулендерс клэймо (Шотландские "Лоулендеры" с клейморами)</t>
  </si>
  <si>
    <t>Скермитори делла скуола Дарди (Фехтовальщики школы Дарди)</t>
  </si>
  <si>
    <t>Епеист дё л'Академи дю Руэ (Фехтовальщики Академии Короля)</t>
  </si>
  <si>
    <t>Маэстрос де есгрима де Барселона (Гильдия фехтовальщиков Барселоны)</t>
  </si>
  <si>
    <t>Зареестровани козацы (Реестровые казаки на службе Польши)</t>
  </si>
  <si>
    <t>Скандинавия, Голландия, Франция, северная Германия</t>
  </si>
  <si>
    <t>Пешее ополчение с луками</t>
  </si>
  <si>
    <t>Ливония</t>
  </si>
  <si>
    <t>Замок</t>
  </si>
  <si>
    <t>Дворяне огненного боя  (Конные аркебузеры)</t>
  </si>
  <si>
    <t xml:space="preserve">Московские стрельцы (Пешая московская гвардия) </t>
  </si>
  <si>
    <t>Кирассиес венециани (Генерал, Венецианские кирассиры)</t>
  </si>
  <si>
    <t>Хинетес (Испанские Хинеты)</t>
  </si>
  <si>
    <t>наемник
(единый юнит с Швейцарией)</t>
  </si>
  <si>
    <t>наемник
(единый юнит с Крымом)</t>
  </si>
  <si>
    <t>черные капюшоны</t>
  </si>
  <si>
    <t>нож</t>
  </si>
  <si>
    <t>войлок</t>
  </si>
  <si>
    <t>доспех коня</t>
  </si>
  <si>
    <t>клевец</t>
  </si>
  <si>
    <t>булава</t>
  </si>
  <si>
    <t>шпага</t>
  </si>
  <si>
    <t>сабля</t>
  </si>
  <si>
    <t>полекс</t>
  </si>
  <si>
    <t>глефа</t>
  </si>
  <si>
    <t>Пика</t>
  </si>
  <si>
    <t>Низкий</t>
  </si>
  <si>
    <t>Алебарды(и их виды)</t>
  </si>
  <si>
    <t>Одноручное</t>
  </si>
  <si>
    <t>Средний</t>
  </si>
  <si>
    <t>Копья(и их виды)</t>
  </si>
  <si>
    <t>Одноручное кавалерия легкая</t>
  </si>
  <si>
    <t>Высокий</t>
  </si>
  <si>
    <t>Двуручное</t>
  </si>
  <si>
    <t>павеза</t>
  </si>
  <si>
    <t>Одноручное  кавалерия тяжелая/средняя</t>
  </si>
  <si>
    <t>Элита</t>
  </si>
  <si>
    <t>Ланса кавалерия легкая</t>
  </si>
  <si>
    <t>Ланса кавалерия тяжелая/средняя</t>
  </si>
  <si>
    <t>баклер</t>
  </si>
  <si>
    <t>Значение</t>
  </si>
  <si>
    <t>Натиск</t>
  </si>
  <si>
    <t>Боевой дух</t>
  </si>
  <si>
    <t>Бонус против кавы</t>
  </si>
  <si>
    <t>Пробитие брони</t>
  </si>
  <si>
    <t>Базовый урон оружием</t>
  </si>
  <si>
    <t>Щит</t>
  </si>
  <si>
    <t>Броня</t>
  </si>
  <si>
    <t>арбалет</t>
  </si>
  <si>
    <t>пистолет</t>
  </si>
  <si>
    <t>аркебуза</t>
  </si>
  <si>
    <t>лук</t>
  </si>
  <si>
    <t>мушкет</t>
  </si>
  <si>
    <t>гусарская ланса</t>
  </si>
  <si>
    <t>вертлюжная пушка</t>
  </si>
  <si>
    <t>дротики</t>
  </si>
  <si>
    <t>тарч</t>
  </si>
  <si>
    <t>чекан</t>
  </si>
  <si>
    <t>юшман, шлем</t>
  </si>
  <si>
    <t>кольчуга, шлем, наручи</t>
  </si>
  <si>
    <t>тассеты</t>
  </si>
  <si>
    <t>наручи</t>
  </si>
  <si>
    <t>кираса, шлем, наручи, тассеты</t>
  </si>
  <si>
    <t>кираса, шлем, тассеты</t>
  </si>
  <si>
    <t>бригандина, шлем</t>
  </si>
  <si>
    <t>кольчужные полосы, шлем</t>
  </si>
  <si>
    <t>тегиляй, шлем</t>
  </si>
  <si>
    <t>3/4, войлок</t>
  </si>
  <si>
    <t>полный доспех(восток)</t>
  </si>
  <si>
    <t>войлок, шлем</t>
  </si>
  <si>
    <t>Основное оружие</t>
  </si>
  <si>
    <t>Дополнительное оружие</t>
  </si>
  <si>
    <t>бригандина</t>
  </si>
  <si>
    <t>навык защиты</t>
  </si>
  <si>
    <t>Навык атаки</t>
  </si>
  <si>
    <t>доспехи</t>
  </si>
  <si>
    <t>Щит.</t>
  </si>
  <si>
    <t>Общая защита</t>
  </si>
  <si>
    <t>Броня№1</t>
  </si>
  <si>
    <t>Броня№2</t>
  </si>
  <si>
    <t>Броня№3</t>
  </si>
  <si>
    <t>Средняя конница с копьями в мисюрке, кольчуге, с круглымщитом</t>
  </si>
  <si>
    <t>Пешее ополчение с копьями ищитами</t>
  </si>
  <si>
    <t>Легкая конница с копьем ищитом</t>
  </si>
  <si>
    <t>щит на спине</t>
  </si>
  <si>
    <t>круглый щит</t>
  </si>
  <si>
    <t>большой щит</t>
  </si>
  <si>
    <t>Щиты</t>
  </si>
  <si>
    <t>кинжал</t>
  </si>
  <si>
    <t>рогатина</t>
  </si>
  <si>
    <t>секира</t>
  </si>
  <si>
    <t>топор</t>
  </si>
  <si>
    <t>шестопер</t>
  </si>
  <si>
    <t>эсток</t>
  </si>
  <si>
    <t>протазан</t>
  </si>
  <si>
    <t>кончар</t>
  </si>
  <si>
    <t>Тяжелая пехота с кавалерийскими копьями(копье в двух руках)</t>
  </si>
  <si>
    <t>Средняя пехота,мечники сощитами</t>
  </si>
  <si>
    <t>Лоулендерс (Лоулендеры сощитом имечом)</t>
  </si>
  <si>
    <t>Хайлендерс (Шотландские "Хайлендеры" сбаклером имечом)</t>
  </si>
  <si>
    <t>Ени чери тебар (Янычары ссекирами)</t>
  </si>
  <si>
    <t>Тяжелая пехота с двуручнымисекирами</t>
  </si>
  <si>
    <t>Тяжелая пехота с двуручнымисекирами, гвардия</t>
  </si>
  <si>
    <t>Хайлендерс бродакс (Хайлендеры с двуручнымисекирами)</t>
  </si>
  <si>
    <t>Хайлендерс акс (Хайлендеры сбаклером итопориком)</t>
  </si>
  <si>
    <t>Легкая пехота смечами ишпагами</t>
  </si>
  <si>
    <t>Мощь дополнительного оружия(урон, длина, сложность владения и тд)</t>
  </si>
  <si>
    <t>Мощь основного оружия(урон, длина, сложность владения и тд)</t>
  </si>
  <si>
    <t>Мощность</t>
  </si>
  <si>
    <t>копье(ланса)</t>
  </si>
  <si>
    <t>Натиск основного</t>
  </si>
  <si>
    <t>Натиск дополнительного</t>
  </si>
  <si>
    <t>Шварце райта (Немецкие "Черные рейтары")</t>
  </si>
  <si>
    <t>Алжир и Тунис и Крымское ханство</t>
  </si>
  <si>
    <t>Анатолия, Балканы</t>
  </si>
  <si>
    <t>Минимальный</t>
  </si>
  <si>
    <t>Очень Низкий</t>
  </si>
  <si>
    <t>Ниже среднего</t>
  </si>
  <si>
    <t>Выше среднего</t>
  </si>
  <si>
    <t>Очень высокий</t>
  </si>
  <si>
    <t>Максимальный</t>
  </si>
  <si>
    <t>Тренированность в ближнем бою</t>
  </si>
  <si>
    <t>легкая пехота с мушкетами, прячутся везде</t>
  </si>
  <si>
    <t>Тюфенкджи (Пешая гвардия Хана)</t>
  </si>
  <si>
    <t>Тренированность</t>
  </si>
  <si>
    <t>Описание</t>
  </si>
  <si>
    <t>Корабль</t>
  </si>
  <si>
    <t>Лёгкий</t>
  </si>
  <si>
    <t>Тяжёлый</t>
  </si>
  <si>
    <t>Осадная</t>
  </si>
  <si>
    <t>Неф (Багала)</t>
  </si>
  <si>
    <t>совня</t>
  </si>
  <si>
    <t>тегиляй, бумажный шлем(меховая шапка у татар)</t>
  </si>
  <si>
    <t>уплотненный халат</t>
  </si>
  <si>
    <t>усиленный жупан</t>
  </si>
  <si>
    <t>одежда королевских мушкетеров, шлем</t>
  </si>
  <si>
    <t>Конница</t>
  </si>
  <si>
    <t>Пехота</t>
  </si>
  <si>
    <t>Средняя конница с лукми</t>
  </si>
  <si>
    <t>Лёгкий(средний)</t>
  </si>
  <si>
    <t>Тяжёлый(средний)</t>
  </si>
  <si>
    <t>Копейщики(лёгкий)</t>
  </si>
  <si>
    <t>Копейщики(средний)</t>
  </si>
  <si>
    <t>Копейщики(тяжёлый)</t>
  </si>
  <si>
    <t>Бонус-малус</t>
  </si>
  <si>
    <t>Характеристика</t>
  </si>
  <si>
    <t>навык атаки</t>
  </si>
  <si>
    <t>щит, броня, навык защиты</t>
  </si>
  <si>
    <t>Примечание</t>
  </si>
  <si>
    <t>ибо конь часть модели, но брони, щита и навыка защиты у него нет:)</t>
  </si>
  <si>
    <t>Уровень тренированности в ближнем бою(как индивидуальный, так и командный)</t>
  </si>
  <si>
    <t>Стрелковый(лёгкий)</t>
  </si>
  <si>
    <t>Стрелковый(средний)</t>
  </si>
  <si>
    <t>Стрелковый(тяжёлый)</t>
  </si>
  <si>
    <t>штраф/бонус за доспехи</t>
  </si>
  <si>
    <t>Выносливость</t>
  </si>
  <si>
    <t>Класс(доспехи)</t>
  </si>
  <si>
    <t>normal</t>
  </si>
  <si>
    <t>hardy</t>
  </si>
  <si>
    <t>very hardy</t>
  </si>
  <si>
    <t>приклад</t>
  </si>
  <si>
    <t>Сорти гади ("Черная стража" ландскнехтов)</t>
  </si>
  <si>
    <t>Исключения и корректировки</t>
  </si>
  <si>
    <t>Защита ниже нуля</t>
  </si>
  <si>
    <t>Доспехи равны нулю</t>
  </si>
  <si>
    <t>Хайлендер</t>
  </si>
  <si>
    <t>Рыцарь</t>
  </si>
  <si>
    <t>Лоулендер</t>
  </si>
  <si>
    <t>индивидуальная корректировка</t>
  </si>
  <si>
    <t>Повышенный натиск</t>
  </si>
  <si>
    <t>Апгрейд 1 равен нулю</t>
  </si>
  <si>
    <t>Кинжал прибавить к атаке</t>
  </si>
  <si>
    <t>Очень выносливые</t>
  </si>
  <si>
    <t>Гуардиа дель гонфалоньерэ (Генерал, Гвардия онфалоньера)</t>
  </si>
  <si>
    <t>Секуито дель гонфалоньерэ (Генерал, Свита гонфалоньера)</t>
  </si>
  <si>
    <t>Балистарии (Арбалетчики Европы)</t>
  </si>
  <si>
    <t>Ёрюк (Конница туркмен)</t>
  </si>
  <si>
    <t>стальной щит</t>
  </si>
  <si>
    <t>Усталость в жарком климате</t>
  </si>
  <si>
    <t>География</t>
  </si>
  <si>
    <t>Категория</t>
  </si>
  <si>
    <t>Заросли</t>
  </si>
  <si>
    <t>Песок</t>
  </si>
  <si>
    <t>Лес</t>
  </si>
  <si>
    <t>Снег</t>
  </si>
  <si>
    <t>Пехота одноруч</t>
  </si>
  <si>
    <t>Мамлюки</t>
  </si>
  <si>
    <t>Пехота двуруч</t>
  </si>
  <si>
    <t>Пехота древко</t>
  </si>
  <si>
    <t>Пехота пика</t>
  </si>
  <si>
    <t>Кава</t>
  </si>
  <si>
    <t>Балканы</t>
  </si>
  <si>
    <t>Иберия</t>
  </si>
  <si>
    <t>Казаки и татары</t>
  </si>
  <si>
    <t>Англия, Голл.</t>
  </si>
  <si>
    <t>Венгры</t>
  </si>
  <si>
    <t>Французы</t>
  </si>
  <si>
    <t>Немцы</t>
  </si>
  <si>
    <t>Поляки</t>
  </si>
  <si>
    <t>Скоты</t>
  </si>
  <si>
    <t>Шведы</t>
  </si>
  <si>
    <t>Русь и Литва</t>
  </si>
  <si>
    <t>тяжёлый</t>
  </si>
  <si>
    <t>Бланка риттарна (Белые рейтары)</t>
  </si>
  <si>
    <t>Сервус кум дракулорум бипеннем (Сержанты с алебардами)</t>
  </si>
  <si>
    <t>Комитатус ад Манификум доминум (Генерал, Свита Великого магистра)</t>
  </si>
  <si>
    <t>Фатрибус милитес (Братья рыцари)</t>
  </si>
  <si>
    <t>Наутае гали (пехота галер)</t>
  </si>
  <si>
    <t>легкая пехота с аркебузами</t>
  </si>
  <si>
    <t>средняя пехота с огнеметами</t>
  </si>
  <si>
    <t>Сервус кум пила интерсепта (сержанты с полупиками)</t>
  </si>
  <si>
    <t>средняя пехота с полупиками</t>
  </si>
  <si>
    <t>тяжелая пехота с двуручными мечами</t>
  </si>
  <si>
    <t>Милиция порталиш ("Воротное ополчение")</t>
  </si>
  <si>
    <t>Ердеи ниляк (Трансильванские стрелки)</t>
  </si>
  <si>
    <t>Че ловаш иясок (Чешские конные арбалетчики)</t>
  </si>
  <si>
    <t>Кираи бандерия (Генерал, Свита короля)</t>
  </si>
  <si>
    <t>Кираи удваранак хусариаи (Генерал, Королевские гусары)</t>
  </si>
  <si>
    <t>Могёр чендурок (Венгерские жандармы)</t>
  </si>
  <si>
    <t>Могёр цуирассиерек (Венгерские кирасиры)</t>
  </si>
  <si>
    <t>Могёр хусарок (Венгерские гусары)</t>
  </si>
  <si>
    <t>Хорваток (Хорватская конница)</t>
  </si>
  <si>
    <t>Бандерия вайда (Конная знать воевод)</t>
  </si>
  <si>
    <t>Мойдавок (Молдавская конница)</t>
  </si>
  <si>
    <t>Лу сэрбек (Конные сербы)</t>
  </si>
  <si>
    <t>Пешее ополчение с павезами и копьями</t>
  </si>
  <si>
    <t>пешие стрелки с восточными мушкетами</t>
  </si>
  <si>
    <t>Конные арбалетчики</t>
  </si>
  <si>
    <t>Ердеиек (Трансильванские конные аркебузеры)</t>
  </si>
  <si>
    <t>Эрцгерцогство Австрия (Габсбурги) и Королевство Венгрия</t>
  </si>
  <si>
    <t>Дойче кюрассире (Немецкие кирасиры)</t>
  </si>
  <si>
    <t>Тироль</t>
  </si>
  <si>
    <t>Штирия</t>
  </si>
  <si>
    <t>Триент</t>
  </si>
  <si>
    <t>Каринтия</t>
  </si>
  <si>
    <t>Хан-кулу (Генерал, Высшая знать ханства)</t>
  </si>
  <si>
    <t>Оглан (Крымская легкая конница)</t>
  </si>
  <si>
    <t>Сеферлю (Татарская конница с луками)</t>
  </si>
  <si>
    <t>Ускочи(Ускоки)</t>
  </si>
  <si>
    <t>Вокруг Адриатического моря</t>
  </si>
  <si>
    <t>Гэллоглэх клэймо (Ирландские "Гэллогласы" с клейморами)</t>
  </si>
  <si>
    <t>Гэллоглэх бродекс (Ирландские "Гэллогласы" с секирами)</t>
  </si>
  <si>
    <t>Гловир гвидделиг (Ирландские рудокопы)</t>
  </si>
  <si>
    <t>Ческа пехота со штиты (Чешские тяжелые павезники)</t>
  </si>
  <si>
    <t>Чехия, Силезия, Моравия</t>
  </si>
  <si>
    <t>кирка</t>
  </si>
  <si>
    <t>Хайдукс (Гайдуки)</t>
  </si>
  <si>
    <t>Восточная Европа, Анатолия, Балканы, Египет</t>
  </si>
  <si>
    <t>Легкая пехота с копьями и щитами</t>
  </si>
  <si>
    <t>Легкая пехота с арбалетами, павеза за спиной при стрельбе, в руках во время ближнего боя</t>
  </si>
  <si>
    <t>средняя пехота, арбалетчики, павеза за спиной при стрельбе, в руках во время ближнего боя</t>
  </si>
  <si>
    <t>Везде, где ислам распространен на 99% и выше</t>
  </si>
  <si>
    <t>Щит ниже нуля</t>
  </si>
  <si>
    <t>наемник
(единый юнит с Голландией)</t>
  </si>
  <si>
    <t>Королевство Венгрия и Великое княжество литовское</t>
  </si>
  <si>
    <t>Лансадуш (Португальские первопроходцы)</t>
  </si>
  <si>
    <t>Дегредадуш (Преступники)</t>
  </si>
  <si>
    <t>Лансейруш (Пикинеры Португалии)</t>
  </si>
  <si>
    <t>Фидалгуш (Пешие дворяне Португалии)</t>
  </si>
  <si>
    <t>Жинетиш (Португальские Хинеты)</t>
  </si>
  <si>
    <t>Нобриш эквештриш (Генерал, Конная гвардия)</t>
  </si>
  <si>
    <t xml:space="preserve"> Фидалгуш жи аркабузиш (Дворяне Португалии с аркебузами) </t>
  </si>
  <si>
    <t xml:space="preserve">Фидалгуш жи колубреташ (Дворяне Португалии с ружьями) </t>
  </si>
  <si>
    <t>1550 и 1576</t>
  </si>
  <si>
    <t>эскопета</t>
  </si>
  <si>
    <t>замбурак</t>
  </si>
  <si>
    <t>огнемёт</t>
  </si>
  <si>
    <t>гранаты взрывные</t>
  </si>
  <si>
    <t>лук восточный композитный</t>
  </si>
  <si>
    <t>лук восточный</t>
  </si>
  <si>
    <t>аркебуза лонга</t>
  </si>
  <si>
    <t>лук длинный</t>
  </si>
  <si>
    <t>гранаты зажигательные</t>
  </si>
  <si>
    <t>арбалет лёгкий</t>
  </si>
  <si>
    <t>пистолет дешёвый</t>
  </si>
  <si>
    <t>арбалет тяжёлый</t>
  </si>
  <si>
    <t>пистолет тяжелый</t>
  </si>
  <si>
    <t>мушкет облегченный</t>
  </si>
  <si>
    <t>Батл вэгонс (Боевые повозки)</t>
  </si>
  <si>
    <t>мушкет тяжёлый</t>
  </si>
  <si>
    <t>Название</t>
  </si>
  <si>
    <t>Дальность</t>
  </si>
  <si>
    <t>Боезапас</t>
  </si>
  <si>
    <t>Легкая конница с луками в халатах и щитом на спине</t>
  </si>
  <si>
    <t>Нукеры (Дружинники хана и беев)</t>
  </si>
  <si>
    <t>Стена повозок или мантелетов с аркебузами на них и ребадекином</t>
  </si>
  <si>
    <t>Байрак (Конница подвластных беев и ногаев)</t>
  </si>
  <si>
    <t>Средняя пехота,мечники с большими щитами и пистолетами</t>
  </si>
  <si>
    <t>Хайдут (Беднота крымских кочевий)</t>
  </si>
  <si>
    <t>Югенд мит шписсен (Швейцарская молодежь с пиками)</t>
  </si>
  <si>
    <t>Югенд мит хеллебарден (Швейцарская молодежь с алебардами)</t>
  </si>
  <si>
    <t>Райслёйфа мит шписсен аус Нидвальден (Швейцарцы-пикинеры из Нидвальдена)</t>
  </si>
  <si>
    <t>Райслёйфа мит хеллебарден аус Швиц (Швейцарцы-алебардисты из Швица)</t>
  </si>
  <si>
    <t>Райслёйфа мит шписсен аус Ури (Швейцарцы-пикинеры из Ури)</t>
  </si>
  <si>
    <t>Райслёйфа мит хеллебарден аус Унтервальден (Швейцарцы-алебардисты из Унтервальдена)</t>
  </si>
  <si>
    <t>Райслёйфа мит шписсен аус Унтервальден (Швейцарцы-пикинеры из Унтервальдена)</t>
  </si>
  <si>
    <t>Югенд мит хакенбюксен (Швейцарская молодежь с аркебузами)</t>
  </si>
  <si>
    <t>Бериттене трабантен дер Швайц (Генерал, Швейцарские конные трабанты)</t>
  </si>
  <si>
    <t>Фусстрабантен дер Швайц (Пешая швейцарская гвардия)</t>
  </si>
  <si>
    <t>Средняя пехота с огнестрелом, гвардия хана</t>
  </si>
  <si>
    <t>Пешее ополчение с полупиками</t>
  </si>
  <si>
    <t>?</t>
  </si>
  <si>
    <t>Размер отряда минимум</t>
  </si>
  <si>
    <t>Размер отряда норма</t>
  </si>
  <si>
    <t>Размер отряда большой</t>
  </si>
  <si>
    <t>Размер отряда максимум</t>
  </si>
  <si>
    <t>Кавалерия</t>
  </si>
  <si>
    <t>1500-1549</t>
  </si>
  <si>
    <t>1550-1600</t>
  </si>
  <si>
    <t>Средняя пехота, пикинеры (Lançeiros)</t>
  </si>
  <si>
    <t>Тяжелая пехота с гранатами (Fidalgos)</t>
  </si>
  <si>
    <t>Легкая конница с арбалетами (Ginetes)</t>
  </si>
  <si>
    <t>Тяжелая конница, охрана генерала (Nobres eqvestris)</t>
  </si>
  <si>
    <t>Средняя пехота с ружьями меньшей убойности чем у аркебуз, но большей дальностью (Fidalgos com colubretas)</t>
  </si>
  <si>
    <t>Средняя пехота с аркебузами (Fidalgos com arcabuzes)</t>
  </si>
  <si>
    <t>Легкая пехота, пикинеры (Jugend mit Spiessen)</t>
  </si>
  <si>
    <t>Легкая пехота, алебардеры (Jugend mit Hellebarden)</t>
  </si>
  <si>
    <t>Средняя пехота, пикинеры (Reisläufer mit Spiessen aus Nidwalden)</t>
  </si>
  <si>
    <t>Средняя пехота, алебардеры (Reisläufer mit Hellebarden aus Schwyz)</t>
  </si>
  <si>
    <t>Средняя пехота, пикинеры (Reisläufer mit Spiessen aus Uri)</t>
  </si>
  <si>
    <t>Средняя пехота, алебардеры (Reisläufer mit Hellebarden aus Unterwalden)</t>
  </si>
  <si>
    <t>Средняя пехота, пикинеры (Reisläufer mit Spiessen aus Unterwalden)</t>
  </si>
  <si>
    <t>Тяжелая пехота, алебардеры (Auszüger mit Hellebarden aus Zug)</t>
  </si>
  <si>
    <t>Аусцюга мит хеллебарден аус Цуг (Мастера алебардисты из Цуга)</t>
  </si>
  <si>
    <t>Тяжелая пехота с двуручными мечами (Auszüger mit Zweihändern aus Solothurn)</t>
  </si>
  <si>
    <t>Аусцюга мит цвайхендерн аус Золотурн (Мастера меча из Золотурна)</t>
  </si>
  <si>
    <t>Легкая пехота, аркебузеры (Jugend mit Hakenbüchsen)</t>
  </si>
  <si>
    <t>Тяжелая конница, охрана генерала (Berittene Trabanten der Schweiz)</t>
  </si>
  <si>
    <t>Тяжелая пехота с полексами (Fusstrabanten der Schweiz)</t>
  </si>
  <si>
    <t>Тяжелая конница (Schwarzhäupter)</t>
  </si>
  <si>
    <t>Тяжелая конница (Hoffleit)</t>
  </si>
  <si>
    <t>Хоффольк (Генерал, Ливонская знать)</t>
  </si>
  <si>
    <t>Легкая пехота с гвизармами (Verbündete Friesen)</t>
  </si>
  <si>
    <t xml:space="preserve">Шво’це пантн (Ландскнехты "Черных банд") </t>
  </si>
  <si>
    <t>Средняя пехота, пикинеры (Schwarze Banden)</t>
  </si>
  <si>
    <t>наемник
(единый юнит с Саксонией)</t>
  </si>
  <si>
    <t>Средняя пехота, алебардеры (Niederdeutsche Landsknechte mit Hellebarden)</t>
  </si>
  <si>
    <t>Средняя пехота, пикинеры (Verbündete Landsknechte von Geldern)</t>
  </si>
  <si>
    <t>Тяжелая пехота, пикинеры (Sächsische Landsknechte)</t>
  </si>
  <si>
    <t>Тяжелая конница, охрана генерала (Garde des Herzogs)</t>
  </si>
  <si>
    <t>Средняя пехота, пикинеры (Niederdeutsche Landsknechte mit Piken)</t>
  </si>
  <si>
    <t>Ланскнехьтн фон Браненборхь (Ландскнехты Бранденбурга, алебардеры)</t>
  </si>
  <si>
    <t>Тяжелая пехота, алебардеры (Landsknechte von Brandenburg)</t>
  </si>
  <si>
    <t>Гефольге фон ден Маркгревен (Генерал, Свита Маркграфа)</t>
  </si>
  <si>
    <t>Тяжелая конница, охрана генерала (Gefolge des Markgrafen)</t>
  </si>
  <si>
    <t>Средняя пехота с двуручными мечами (Hochdeutsche Landsknechte)</t>
  </si>
  <si>
    <t>Боариша рита (Баварские рыцари)</t>
  </si>
  <si>
    <t>Тяжелая конница с копьями (Bayrische Ritter)</t>
  </si>
  <si>
    <t>Боариша гирасиа (Баварские кирасиры)</t>
  </si>
  <si>
    <t>Тяжелая конница с пистолетами (Bayrische Kürassiere)</t>
  </si>
  <si>
    <t>Тяжелая конница, охрана генерала (Gefolge des Herzogs)</t>
  </si>
  <si>
    <t>Пешее ополчение (Bauern)</t>
  </si>
  <si>
    <t>Швебише биргор мет бига (Бюргеры Швабии, пикинеры)</t>
  </si>
  <si>
    <t>Средняя пехота, пикинеры (Schwäbische Bürger mit Piken)</t>
  </si>
  <si>
    <t>Тяжелая пехота, алебардеры (Schwäbische Doppelsöldner mit Hellebarden)</t>
  </si>
  <si>
    <t>Швебише биргор мет дсвоэхандвафа (Богатые горожане с двуручными мечами)</t>
  </si>
  <si>
    <t>Швебише ренфоне мет армбришта (Конный авангард с арбалетами)</t>
  </si>
  <si>
    <t>Швебише биргор мет хагабикса (Аркебузеры Швабии)</t>
  </si>
  <si>
    <t>Легкая пехота, аркебузеры (Schwäbische Bürger mit Hakenbüchsen)</t>
  </si>
  <si>
    <t>Мушкетеры с мушкетами (Schwäbische Landsknechte mit Musketen)</t>
  </si>
  <si>
    <t>Швебише биргор мет армбришта (Горожане с арбалетами)</t>
  </si>
  <si>
    <t>Легкая пехота, арбалетчики (Schwäbische Bürger mit Armbrüsten)</t>
  </si>
  <si>
    <t>Гарде дор Лига (Генерал, Гвардия Лиги)</t>
  </si>
  <si>
    <t>Тяжелая конница, охрана генерала (Garde der Liga)</t>
  </si>
  <si>
    <t>Фуэсгарде дор Лига (Спешенная гвардия Лиги)</t>
  </si>
  <si>
    <t>Спешеннные рыцари с протазанами (Fußgarde der Liga)</t>
  </si>
  <si>
    <t>Зекла (Секеи, пешие воины)</t>
  </si>
  <si>
    <t>Легкая пехота с саблями (Szekler)</t>
  </si>
  <si>
    <t>Тиролише жицн (Тирольские стрелки)</t>
  </si>
  <si>
    <t>Отличные легкие пешие стрелки с аркебузами (Tirolische Schützen)</t>
  </si>
  <si>
    <t>Отличные легкие пешие стрелки с восточными мушкетами (Tirolische Schützen)</t>
  </si>
  <si>
    <t>Ждэйриша мускетиа (Штирийские мушкетеры)</t>
  </si>
  <si>
    <t>Пешие мушкетеры (Steirische Musketiere)</t>
  </si>
  <si>
    <t>Босниша бандитн (Боснийские бандиты)</t>
  </si>
  <si>
    <t>Легкая пехота с дротиками (Bosnische Banditen)</t>
  </si>
  <si>
    <t>Дайматиниша рэйва (Разбойники Далмации)</t>
  </si>
  <si>
    <t>Легкая пехота с арбалетами (Dalmatinische Räuber)</t>
  </si>
  <si>
    <t>Злавониша вербиндете (Славонские союзники)</t>
  </si>
  <si>
    <t>Легкая пехота с луками (Slawonische Verbündete)</t>
  </si>
  <si>
    <t>Зербиша инфонтери (Сербская пехота)</t>
  </si>
  <si>
    <t>Средняя пехота с аркебузами (Serbische Infanterie)</t>
  </si>
  <si>
    <t>Грендза (Граничары)</t>
  </si>
  <si>
    <t>Легкая пехота с аркебузами (Grenzer)</t>
  </si>
  <si>
    <t>Гроатиша рейда (Кроаты, легкая конница)</t>
  </si>
  <si>
    <t>Легкая конница с копьями (Kroatische Reiter)</t>
  </si>
  <si>
    <t>Рита вон Дриэнт (Рыцари Триента)</t>
  </si>
  <si>
    <t>Тяжелая конница с копьями (Ritter von Trient)</t>
  </si>
  <si>
    <t>Гирасиа вон ди Грайн (Кирасиры Крайна)</t>
  </si>
  <si>
    <t>Тяжелая конница с пистолетами (Kürassiere der Krain)</t>
  </si>
  <si>
    <t>Рита вон Гернтн (Рыцари Каринтии)</t>
  </si>
  <si>
    <t>Тяжелая конница с копьями (Ritter von Kärnten)</t>
  </si>
  <si>
    <t>Гирасиа фон Эстерейх (Кирасиры австрийского домена)</t>
  </si>
  <si>
    <t>Тяжелая конница с пистолетами (Kürassiere von Österreich)</t>
  </si>
  <si>
    <t>Горде вон ден Эрцхердзог (Генерал, Гвардия эрцгерцога)</t>
  </si>
  <si>
    <t>Райслёйфа мит шпиcсен аус Граубюндн (Наемные пикинеры из Граубюндена)</t>
  </si>
  <si>
    <t>Ландскнехте мит пикен (Ландскнехты с пиками)</t>
  </si>
  <si>
    <t>Ландскнехте мит хеллебарден (Ландскнехты с алебардами)</t>
  </si>
  <si>
    <t>Доппельзёльдна мит хеллебарден (Допельзёльднеры с алебардами)</t>
  </si>
  <si>
    <t>Доппельзёльдна мит пикен (Допельзёльднеры с пиками)</t>
  </si>
  <si>
    <t>Доппельзёльдна мит фламберген (Допельзёльднеры с фламбергами)</t>
  </si>
  <si>
    <t>Аркебузиррайта (Немецкие конные аркебузеры)</t>
  </si>
  <si>
    <t>Ландскнехте мит хакенбюксен (Ландскнехты с аркебузами)</t>
  </si>
  <si>
    <t>Линслойте райта (Немецкие рыцари)</t>
  </si>
  <si>
    <t>Ферлоренер хауфе ("Потерянная надежда", немецкий авангард)</t>
  </si>
  <si>
    <t>Фехтбрюда фон Занкт Маркус (Фехтовальщики "Братства святого Марка")</t>
  </si>
  <si>
    <t>Меткость</t>
  </si>
  <si>
    <t>% от базовой численности</t>
  </si>
  <si>
    <t>Низкая точность</t>
  </si>
  <si>
    <t>Средняя точность</t>
  </si>
  <si>
    <t>Высокая точность</t>
  </si>
  <si>
    <t>как в ванили greek_fire</t>
  </si>
  <si>
    <t>как в ванили nahptha_bomb</t>
  </si>
  <si>
    <t>аркебуза-эскопета</t>
  </si>
  <si>
    <t>19, lock_morale</t>
  </si>
  <si>
    <t>Крестьяне. Ополченцы</t>
  </si>
  <si>
    <t>Тяжелая конница с копьями, охрана генерала</t>
  </si>
  <si>
    <t>Тяжелая конница с пистолетами, охрана генерала</t>
  </si>
  <si>
    <t>Тяжелая конница (Hoffolk), охрана генерала</t>
  </si>
  <si>
    <t>Тяжелая конница с копьями (Garde des Erzherzogs), охрана генерала</t>
  </si>
  <si>
    <t>Тяжелая конница с пистолетами (Garde des Erzherzogs), охрана генерала</t>
  </si>
  <si>
    <t>low</t>
  </si>
  <si>
    <t>disciplined</t>
  </si>
  <si>
    <t>impetuous</t>
  </si>
  <si>
    <t>untrained</t>
  </si>
  <si>
    <t>trained</t>
  </si>
  <si>
    <t>highly_trained</t>
  </si>
  <si>
    <t>иберия</t>
  </si>
  <si>
    <t>скандинавия</t>
  </si>
  <si>
    <t>британия</t>
  </si>
  <si>
    <t>италия</t>
  </si>
  <si>
    <t>германия</t>
  </si>
  <si>
    <t>франция</t>
  </si>
  <si>
    <t>турки</t>
  </si>
  <si>
    <t>восточная европа</t>
  </si>
  <si>
    <t>москва татары мамлюки</t>
  </si>
  <si>
    <t>пех</t>
  </si>
  <si>
    <t>кав</t>
  </si>
  <si>
    <t>стр</t>
  </si>
  <si>
    <t>бл бой</t>
  </si>
  <si>
    <t>регион</t>
  </si>
  <si>
    <t>-</t>
  </si>
  <si>
    <t>Черемисы (Черемисы)</t>
  </si>
  <si>
    <t>Крым, Московия</t>
  </si>
  <si>
    <t>Бонус-малус навык атаки</t>
  </si>
  <si>
    <t>Бонус-малус навык защиты</t>
  </si>
  <si>
    <t>пика№2</t>
  </si>
  <si>
    <t>Ирландия</t>
  </si>
  <si>
    <t>Империя Ацтеков</t>
  </si>
  <si>
    <t>Галера (Шебека)</t>
  </si>
  <si>
    <t>Unit name</t>
  </si>
  <si>
    <t>Galley</t>
  </si>
  <si>
    <t>Fraction</t>
  </si>
  <si>
    <t>all</t>
  </si>
  <si>
    <t>Description</t>
  </si>
  <si>
    <t>Primary weapon</t>
  </si>
  <si>
    <t>Secondary weapon</t>
  </si>
  <si>
    <t>Shield</t>
  </si>
  <si>
    <t>Armour</t>
  </si>
  <si>
    <t>provinces</t>
  </si>
  <si>
    <t xml:space="preserve">building </t>
  </si>
  <si>
    <t>light ship</t>
  </si>
  <si>
    <t>Navis (Nef)</t>
  </si>
  <si>
    <t>middle ship</t>
  </si>
  <si>
    <t>heavy ship</t>
  </si>
  <si>
    <t>super ship</t>
  </si>
  <si>
    <t>Carraca (Carrack)</t>
  </si>
  <si>
    <t xml:space="preserve">Galleon </t>
  </si>
  <si>
    <t>Culverin (cannon)</t>
  </si>
  <si>
    <t>Falconet (Light cannon)</t>
  </si>
  <si>
    <t>Siege cannon</t>
  </si>
  <si>
    <t>Ribodekin (Multi-barreled gun)</t>
  </si>
  <si>
    <t>Field gun (Small cannon)</t>
  </si>
  <si>
    <t>West Europe</t>
  </si>
  <si>
    <t>East Europe</t>
  </si>
  <si>
    <t>cannon</t>
  </si>
  <si>
    <t>Light cannon</t>
  </si>
  <si>
    <t>Multi-barreled gun</t>
  </si>
  <si>
    <t>Small cannon</t>
  </si>
  <si>
    <t>Islamic provinces</t>
  </si>
  <si>
    <t xml:space="preserve">Fortress arsenal </t>
  </si>
  <si>
    <t xml:space="preserve">City arsenal </t>
  </si>
  <si>
    <t xml:space="preserve">Kingdom of France </t>
  </si>
  <si>
    <t>Enfantes perdus avec épées ("Lost children" with swords)</t>
  </si>
  <si>
    <t>Сommunaultes (French Country militia)</t>
  </si>
  <si>
    <t>Легкая пехота, чардж (Enfantes perdus avec épées)</t>
  </si>
  <si>
    <t>Recruiting camp</t>
  </si>
  <si>
    <t xml:space="preserve">Farms </t>
  </si>
  <si>
    <t>Фермы</t>
  </si>
  <si>
    <t>France</t>
  </si>
  <si>
    <t>Порт</t>
  </si>
  <si>
    <t>Port</t>
  </si>
  <si>
    <t>Крепостной арсенал</t>
  </si>
  <si>
    <t>Городской арсенал</t>
  </si>
  <si>
    <t>Анфан пердю аз епе ("Потеряные дети" с мечами)</t>
  </si>
  <si>
    <t>тут англ название</t>
  </si>
  <si>
    <t>ыыы</t>
  </si>
  <si>
    <t>big shield</t>
  </si>
  <si>
    <t>small axe</t>
  </si>
  <si>
    <t>no</t>
  </si>
  <si>
    <t xml:space="preserve">round shield </t>
  </si>
  <si>
    <t>Pavise</t>
  </si>
  <si>
    <t>buckler</t>
  </si>
  <si>
    <t>steel shield</t>
  </si>
  <si>
    <t>tarch</t>
  </si>
  <si>
    <t>shield</t>
  </si>
  <si>
    <t>shield on back</t>
  </si>
  <si>
    <t>two-handed sword</t>
  </si>
  <si>
    <t>two-handed axe</t>
  </si>
  <si>
    <t>two-handed messer</t>
  </si>
  <si>
    <t>hussars lance</t>
  </si>
  <si>
    <t>sword</t>
  </si>
  <si>
    <t>knife</t>
  </si>
  <si>
    <t>axe</t>
  </si>
  <si>
    <t>pike</t>
  </si>
  <si>
    <t>pike№2</t>
  </si>
  <si>
    <t>sabre</t>
  </si>
  <si>
    <t>one-handed axe</t>
  </si>
  <si>
    <t>flamberg</t>
  </si>
  <si>
    <t>crossbow</t>
  </si>
  <si>
    <t>light crossbow</t>
  </si>
  <si>
    <t>heavy crossbow</t>
  </si>
  <si>
    <t>bow</t>
  </si>
  <si>
    <t>eastern bow</t>
  </si>
  <si>
    <t>eastern composite bow</t>
  </si>
  <si>
    <t>longbow</t>
  </si>
  <si>
    <t>musket</t>
  </si>
  <si>
    <t xml:space="preserve">lightweight musket </t>
  </si>
  <si>
    <t>heavy musket</t>
  </si>
  <si>
    <t>pistol</t>
  </si>
  <si>
    <t>simple pistol</t>
  </si>
  <si>
    <t>long pistol</t>
  </si>
  <si>
    <t>длинный пистолет</t>
  </si>
  <si>
    <t>helmet</t>
  </si>
  <si>
    <t>maximilian plate</t>
  </si>
  <si>
    <t>heavy 3/4</t>
  </si>
  <si>
    <t>Upgrade 1</t>
  </si>
  <si>
    <t>Upgrade 2</t>
  </si>
  <si>
    <t>Upgrade 3</t>
  </si>
  <si>
    <t xml:space="preserve">Gascons avec piques (Gascon pikemen) </t>
  </si>
  <si>
    <t>Light infantry, pikemen, good moral (Gascons avec pique)</t>
  </si>
  <si>
    <t>Gascon</t>
  </si>
  <si>
    <t>Légion française (French legion)</t>
  </si>
  <si>
    <t>Medium infantry, pikemen, lowest moral (Légion française)</t>
  </si>
  <si>
    <t xml:space="preserve">cuirass </t>
  </si>
  <si>
    <t>cuirass, helmet</t>
  </si>
  <si>
    <t xml:space="preserve">Сity hall </t>
  </si>
  <si>
    <t xml:space="preserve">Champagne, Picardie </t>
  </si>
  <si>
    <t>Régiment de pied avec piques (Recruited pikemen regiment )</t>
  </si>
  <si>
    <t>Medium infantry, pikemen, normal moral (Régiment de pied avec piques)</t>
  </si>
  <si>
    <t xml:space="preserve">Сон-сюисс (Рота "Сто швейцарцев") </t>
  </si>
  <si>
    <t>Сent suisses ("100 swiss company" swiss guard)</t>
  </si>
  <si>
    <t>Cent suisses de la prévôté ("100 swiss company" swiss palace guard)</t>
  </si>
  <si>
    <t>Heavy infantry, best moral and characteristics, guard (Сent suisses)</t>
  </si>
  <si>
    <t>Heavy infantry, best moral and characteristics, guard (Cent suisses de la prévôté)</t>
  </si>
  <si>
    <t xml:space="preserve">halberd </t>
  </si>
  <si>
    <t>tassets</t>
  </si>
  <si>
    <t>cuirass, helmet, tassets</t>
  </si>
  <si>
    <t xml:space="preserve">bracers </t>
  </si>
  <si>
    <t>cuirass, helmet, bracers</t>
  </si>
  <si>
    <t>cuirass, helmet, bracers, tassets</t>
  </si>
  <si>
    <t>mail</t>
  </si>
  <si>
    <t>mail, helmet</t>
  </si>
  <si>
    <t>mail, helmet, brassers</t>
  </si>
  <si>
    <t>eastern heavy 3/4</t>
  </si>
  <si>
    <t>Palace</t>
  </si>
  <si>
    <t>Vieux bande chevaux-léger (Light cavalry of old bands)</t>
  </si>
  <si>
    <t>копья</t>
  </si>
  <si>
    <t>праща</t>
  </si>
  <si>
    <t>Наемники Инки с копьями (мясо мясное)</t>
  </si>
  <si>
    <t>Куаутли ("Воины-орлы" ацтеков)  с двуручным макуауитлем (куауололли)</t>
  </si>
  <si>
    <t>Оцелотли ("Воины-ягуары" ацтеков)  с макуауитлем и щитом (чималли)</t>
  </si>
  <si>
    <t>Тлакочкалкатли (Вождь, генерал, одежда (ехуатль))</t>
  </si>
  <si>
    <t>ичкаупильи (бронежилет)</t>
  </si>
  <si>
    <t>Наемники Чичимек с пращей</t>
  </si>
  <si>
    <t>Тлекойотли (боевые жрецы-огненные койоты) с двуручным макуауитлем, отморозки</t>
  </si>
  <si>
    <t>Масеуалли (Ацтек ополченец c  метательными камнями и каменными топорами (ицтопильи) без брони)</t>
  </si>
  <si>
    <t>ополчение, кидает камни</t>
  </si>
  <si>
    <t>легкая пехота с двуручным мечом. Комбинезоны Орлов и Ягуаров - тлавистльи, шлемы - куакалалатли или тситсимитль</t>
  </si>
  <si>
    <t>легкая пехота с одноручным мечом и щитом Макуауитль, Комбинезоны Орлов и Ягуаров - тлавистльи, шлемы - куакалалатли или тситсимитль</t>
  </si>
  <si>
    <t>легкая пехота с одноручным мечом в двух руках. Комбинезоны койотов</t>
  </si>
  <si>
    <t>Легкая пехота, Генерал, одноручный меч и щит Макуауитль</t>
  </si>
  <si>
    <t>метательные камни</t>
  </si>
  <si>
    <t>каменный топор (ицтопильи)</t>
  </si>
  <si>
    <t>обсидиановое копье (тепустопилли)</t>
  </si>
  <si>
    <t>двуручный меч (куауололли)</t>
  </si>
  <si>
    <t>шлем (тситсимитль)</t>
  </si>
  <si>
    <t>шлем (куакалалатли)</t>
  </si>
  <si>
    <t>меч макуауитль</t>
  </si>
  <si>
    <t>меч в двух руках макуауитль</t>
  </si>
  <si>
    <t>Комбинезоны Орлов и Ягуаров и Койотов (тлавистльи)</t>
  </si>
  <si>
    <t>одежда генерала (ехуатль)</t>
  </si>
  <si>
    <t>Куачике с обсидиановыми копьями (тепустопилли) и щитами (чималли)</t>
  </si>
  <si>
    <t>Теукин (воин с дротиком и каменным топором)</t>
  </si>
  <si>
    <t>легкая пехота с копьем и щитом. ичкаупильи (бронежилет) и шлем</t>
  </si>
  <si>
    <t>легкая пехота с дрротиком и каменным топором. ичкаупильи (бронежилет)</t>
  </si>
  <si>
    <t>2 и 2 половины</t>
  </si>
  <si>
    <t>Атлантида</t>
  </si>
  <si>
    <t>чималли</t>
  </si>
  <si>
    <t>ыыыыыы</t>
  </si>
  <si>
    <t>Foot militia of the French lands, like peasants  (Сommunaultes)</t>
  </si>
  <si>
    <t>Light infantry with two-handed swords, charge and fast flanc attacks (Enfantes perdus avec épées)</t>
  </si>
  <si>
    <t>epee</t>
  </si>
  <si>
    <t>Archers d'ordonnance grande (Bowmen of ordinance companies)</t>
  </si>
  <si>
    <t>Medium cavalry with lances, knight charge (Archers d'ordonnance grande)</t>
  </si>
  <si>
    <t>lance</t>
  </si>
  <si>
    <t>knight lance</t>
  </si>
  <si>
    <t>full plate</t>
  </si>
  <si>
    <t>Шевальё лежи (Конные лансеры)</t>
  </si>
  <si>
    <t>Сhevaliers léger (Horse lancers)</t>
  </si>
  <si>
    <t xml:space="preserve">Medium cavalry with lances, knight charge (Сhevaliers léger) </t>
  </si>
  <si>
    <t>Heavy cavalry with lances, knight charge (Gendarmes de ordonnance Picardie)</t>
  </si>
  <si>
    <t>Heavy cavalry with pistols, shot and charge (Cuirassiers de ordonnance Languedoc)</t>
  </si>
  <si>
    <t>cuirassier 3/4</t>
  </si>
  <si>
    <t>Noble stables</t>
  </si>
  <si>
    <t>Picardy</t>
  </si>
  <si>
    <t>Languedoc</t>
  </si>
  <si>
    <t>Heavy cavalry with lances, knight charge (Gendarmes de ordonnance Dauphine)</t>
  </si>
  <si>
    <t>Heavy cavalry with pistols, shot and charge (Cuirassiers de ordonnance Auvergne)</t>
  </si>
  <si>
    <t>horseman's pick</t>
  </si>
  <si>
    <t>Dauphine</t>
  </si>
  <si>
    <t>Auvergne</t>
  </si>
  <si>
    <t>Heavy cavalry with lances, knight charge (Gendarmes de ordonnance Champagne)</t>
  </si>
  <si>
    <t>Heavy cavalry with pistols, shot and charge (Cuirassiers de ordonnance Orleans)</t>
  </si>
  <si>
    <t>mace</t>
  </si>
  <si>
    <t>Champagne</t>
  </si>
  <si>
    <t>Orleans</t>
  </si>
  <si>
    <t>Heavy cavalry with pistols, shot and charge (Cuirassiers de ordonnance Savoie)</t>
  </si>
  <si>
    <t>Heavy cavalry with lances, knight charge (Gendarmes de ordonnance Piémont)</t>
  </si>
  <si>
    <t>estoc</t>
  </si>
  <si>
    <t>Piedmont</t>
  </si>
  <si>
    <t>Savoy</t>
  </si>
  <si>
    <t>Лежьон фронсэз (Французский легион)</t>
  </si>
  <si>
    <t>Аркебюзье фронсэз (Аркебузеры Франции)</t>
  </si>
  <si>
    <t>Аркебюзье а шеваль фронсэз (Конные аркебузеры Франции)</t>
  </si>
  <si>
    <t>Режимон д'гар фронсэз (Мушкетеры короля)</t>
  </si>
  <si>
    <t>Foot arquebusiers (Arquebusiers française)</t>
  </si>
  <si>
    <t>Arquebusiers française (French arquebusiers)</t>
  </si>
  <si>
    <t>arquebus</t>
  </si>
  <si>
    <t>City shooting range</t>
  </si>
  <si>
    <t>Arquebusiers à cheval française (French mount arquebusiers)</t>
  </si>
  <si>
    <t>Mount arquebusiers (Arquebusiers à cheval française)</t>
  </si>
  <si>
    <t>Mousquetaires léger (Musketeers with lightweight muskets)</t>
  </si>
  <si>
    <t xml:space="preserve"> Musketeers with lightweight muskets whisch have lower range then simple musket (Mousquetaires léger)</t>
  </si>
  <si>
    <t>Fortress training ground</t>
  </si>
  <si>
    <t>Barracks</t>
  </si>
  <si>
    <t xml:space="preserve">Сон-сюисс дё ля Прево (Дворцовая рота "Сто швейцарцев") </t>
  </si>
  <si>
    <t>Gentilshommes au bec de corbin (General, "Bec de corbin" company)</t>
  </si>
  <si>
    <t>General guard, Heavy cavalry with lances, knight charge (Gentilshommes au bec de corbin)</t>
  </si>
  <si>
    <t>Гар экоссэз (Шотландская гвардия)</t>
  </si>
  <si>
    <t>Garde écossaise (Scotland guard)</t>
  </si>
  <si>
    <t>Guard, Heavy cavalry with pistols, shot and charge (Garde écossaise)</t>
  </si>
  <si>
    <t>Régiment de garde française (Royal musketeers)</t>
  </si>
  <si>
    <t xml:space="preserve"> Elite musketeers (Régiment de garde française)</t>
  </si>
  <si>
    <t>Mercenaries</t>
  </si>
  <si>
    <t>France, Italy, Netherlands</t>
  </si>
  <si>
    <t>Gendarmes d'pied (Foot gendarmes)</t>
  </si>
  <si>
    <t>Ahlspiess</t>
  </si>
  <si>
    <t>Enfantes perdus avec arquebus ("Lost children" with arquebus)</t>
  </si>
  <si>
    <t>dagger</t>
  </si>
  <si>
    <t>France (Paris)</t>
  </si>
  <si>
    <t>Bandidos (Spanish bandits)</t>
  </si>
  <si>
    <t>United Kingdom of Spain</t>
  </si>
  <si>
    <t>Foot militia of the Spanish lands, like peasants (Bandidos)</t>
  </si>
  <si>
    <t>club</t>
  </si>
  <si>
    <t>Foot militia of the Spanish lands with pistols, like peasants (Bandidos)</t>
  </si>
  <si>
    <t>Light infantry, pikemen, best moral (Pica seca del Coronella)</t>
  </si>
  <si>
    <t>Spain, Italy</t>
  </si>
  <si>
    <t xml:space="preserve"> Light infantry, pikemen, best moral (Pica seca del Tercio)</t>
  </si>
  <si>
    <t>Rodeleros del Tercio Viejo ("Rodeleros", swordsmen of old Tercios)</t>
  </si>
  <si>
    <t>Medium infantry, swordsmen with shields, best moral (Rodeleros del Tercio Viejo)</t>
  </si>
  <si>
    <t>Rodeleros del Tercio Nuevo ("Rodeleros", swordsmen of new Tercios)</t>
  </si>
  <si>
    <t>Medium infantry, swordsmen with shields, best moral (Rodeleros del Tercio Nuevo)</t>
  </si>
  <si>
    <t>Гранадерос дель Терсио де Галерас (Пехота морской терции с гранатами)</t>
  </si>
  <si>
    <t>Granaderos del Tercio de Galeras (Infantry of naval Tercios with grenades)</t>
  </si>
  <si>
    <t>Medium infantry, swordsmen with shields and grenades, best moral (Granaderos del Tercio de Galeras)</t>
  </si>
  <si>
    <t>incendiary grenades</t>
  </si>
  <si>
    <t>explosive grenades</t>
  </si>
  <si>
    <t>Granaderos del Tercio de Armada (Infantry of naval Tercios with grenades)</t>
  </si>
  <si>
    <t>Medium infantry, swordsmen with shields and grenades, best moral (Granaderos del Tercio de Armada)</t>
  </si>
  <si>
    <t>Hombres de arma desmontado (Foot Spanish knights)</t>
  </si>
  <si>
    <t>Heavy dismounted infantry, knights (Hombres de arma desmontado)</t>
  </si>
  <si>
    <t>Spain</t>
  </si>
  <si>
    <t>Heavy infantry with halberds (Alabarderos del Coronella)</t>
  </si>
  <si>
    <t>Medium infantry, pikemen, best moral (Piqueros del Tercio Nuevo)</t>
  </si>
  <si>
    <t>Jinetes ("Jinetes", Spanish light cavalry)</t>
  </si>
  <si>
    <t>light cavalry (Jinetes)</t>
  </si>
  <si>
    <t>рыцарское копье</t>
  </si>
  <si>
    <t>Caballos de lanza (Spanish horse lancers)</t>
  </si>
  <si>
    <t>Light cavalry with lances (Caballos de lanza)</t>
  </si>
  <si>
    <t>Кавайос лиджера (Легкая испанская конница)</t>
  </si>
  <si>
    <t>Caballos ligera (Spanish light cavalry)</t>
  </si>
  <si>
    <t>Mount arquebusiers (Caballos ligera)</t>
  </si>
  <si>
    <t>Heavy cavalry with lances, knight charge (Hombres de arma de Cataluña)</t>
  </si>
  <si>
    <t>Catalonia</t>
  </si>
  <si>
    <t>Heavy cavalry with pistols, shot and charge (Coraceros de Castilla)</t>
  </si>
  <si>
    <t>Castile</t>
  </si>
  <si>
    <t>Arcabuceros (Spanish arquebusiers)</t>
  </si>
  <si>
    <t>Light infantry, arquebusiers (Arcabuceros del Tercio)</t>
  </si>
  <si>
    <t>Medium infantry, arquebusiers (Arcabuceros)</t>
  </si>
  <si>
    <t>Москетерос дель Терсио Вьехо (Мушкетеры старых терций)</t>
  </si>
  <si>
    <t>Роделерос дель Терсио Вьехо (Мечники старых терций)</t>
  </si>
  <si>
    <t>Роделерос дель Терсио Нуево (Мечники новых терций)</t>
  </si>
  <si>
    <t>Пикерос дель Терсио Нуево (Пикинеры новых терций)</t>
  </si>
  <si>
    <t>Аркабусерос дель Терсио (Аркебузеры испанских Терций)</t>
  </si>
  <si>
    <t>Москетерос дель Терсио Нуево (Мушкетеры новых терций)</t>
  </si>
  <si>
    <t>Хинетес гуардиа дель Рей (Генерал, Хинеты королевской гвардии )</t>
  </si>
  <si>
    <t>Light infantry with heavy muskets  (Mosqueteros del Tercio Viejo)</t>
  </si>
  <si>
    <t>Light infantry with heavy muskets  (Mosqueteros del Tercio Nuevo)</t>
  </si>
  <si>
    <t>General guard, Heavy cavalry with lances, knight charge (Jinetes guardia del Rey)</t>
  </si>
  <si>
    <t>Corte del Rey (General, Royal horse guard)</t>
  </si>
  <si>
    <t>Корте дель Рей (Генерал, Конные латники гвардии короля)</t>
  </si>
  <si>
    <t>General guard, Heavy cavalry with pistols, shot and charge (Corte del Rey)</t>
  </si>
  <si>
    <t>Tudescos con alabarda (German guardia, halberdiers)</t>
  </si>
  <si>
    <t>Heavy infantry, best moral and characteristics, guard (Tudescos con alabarda)</t>
  </si>
  <si>
    <t>Spain (Capital)</t>
  </si>
  <si>
    <t>France (Capital)</t>
  </si>
  <si>
    <t>Франция (Столица)</t>
  </si>
  <si>
    <t>повозка</t>
  </si>
  <si>
    <t>Leon</t>
  </si>
  <si>
    <t>Омбрес де арма де Сантьяго (Рыцари ордена Сантьяго)</t>
  </si>
  <si>
    <t>Корасеро де Алькантара (Кирасиры рыцарского ордена Алькантара)</t>
  </si>
  <si>
    <t>Heavy cavalry with lances, knight charge (Hombres de arma de Santiago)</t>
  </si>
  <si>
    <t>Heavy cavalry with pistols, shot and charge (Cuirassiers of the Order of Alcantara)</t>
  </si>
  <si>
    <t>Капитул рыцарского Ордена Сантьяго</t>
  </si>
  <si>
    <t>Капитул рыцарского Ордена Алькантара</t>
  </si>
  <si>
    <t>Chapter of the Knightly Order of Alcantara</t>
  </si>
  <si>
    <t>Chapter of the Knightly Order of Santiago</t>
  </si>
  <si>
    <t>Ballesteros de caballo (Horse crossbowmen from the Pyrenees)</t>
  </si>
  <si>
    <t>Light cavalry with light crossbows (Vieux bande chevaux-léger)</t>
  </si>
  <si>
    <t>Испания, Португалия, Италия</t>
  </si>
  <si>
    <t>Spain, Portugal, Italy</t>
  </si>
  <si>
    <t>Maestros de esgrima de Barcelona (Fencers guild of Barcelona)</t>
  </si>
  <si>
    <t>Spain (Barcelona)</t>
  </si>
  <si>
    <t>Lançados (Portuguese pioneers)</t>
  </si>
  <si>
    <t>Kingdom of Portugal</t>
  </si>
  <si>
    <t>Degredados (Portuguese rabble, criminals)</t>
  </si>
  <si>
    <t>Foot militia of the Portugal lands, like peasants (Degredados)</t>
  </si>
  <si>
    <t>Lançeiros (Portuguese pikemen)</t>
  </si>
  <si>
    <t>Medium infantry, pikemen (Lançeiros)</t>
  </si>
  <si>
    <t>Portugal</t>
  </si>
  <si>
    <t>Легкая пехота, пикинеры, отличная мораль (Gascons avec pique)</t>
  </si>
  <si>
    <t>Средняя пехота, пикинеры, ужасная мораль (Légion française)</t>
  </si>
  <si>
    <t>Средняя пехота, пикинеры, средняя мораль (Régiment de pied avec piques)</t>
  </si>
  <si>
    <t>Тяжелая пехота, отличная мораль и характеристики, гвардия (Сent suisses)</t>
  </si>
  <si>
    <t>Тяжелая пехота, отличная мораль и характеристики, гвардия (Cent suisses de la prévôté)</t>
  </si>
  <si>
    <t>Легкая конница с арбалетами (Vieux bande chevaux-léger)</t>
  </si>
  <si>
    <t>Light noble firearm cavalry, good characteristics (Gentilhommes du Roy)</t>
  </si>
  <si>
    <t>Легкая дворянская конница, отличные характеристики (Gentilhommes du Roy)</t>
  </si>
  <si>
    <t>Жантильомм дю Руэ (Легкая дорянская конница)</t>
  </si>
  <si>
    <t>Gentilhommes du Roy (Light noble cavalry)</t>
  </si>
  <si>
    <t>Птит гар дю Руэ (Генерал, Королевская гвардия)</t>
  </si>
  <si>
    <t>Petite garde du Roy (General, Royal guard)</t>
  </si>
  <si>
    <t>Гар экоссэз д'арше дю Руэ (Шотландские лучники Короля, гвардия)</t>
  </si>
  <si>
    <t>Garde écossaise de archers du Roy (Scotland Royal archers, guard)</t>
  </si>
  <si>
    <t>Средняя конница с копьями (Archers d'ordonnance grande)</t>
  </si>
  <si>
    <t xml:space="preserve">Средняя конница с копьями (Сhevaliers léger) </t>
  </si>
  <si>
    <t>Тяжелая конница (Gendarmes de ordonnance Picardie)</t>
  </si>
  <si>
    <t>Тяжелая конница (Cuirassiers de ordonnance Languedoc)</t>
  </si>
  <si>
    <t>Тяжелая конница (Gendarmes de ordonnance Dauphine)</t>
  </si>
  <si>
    <t>Тяжелая конница (Cuirassiers de ordonnance Auvergne)</t>
  </si>
  <si>
    <t>Тяжелая конница (Gendarmes de ordonnance Champagne)</t>
  </si>
  <si>
    <t>Тяжелая конница (Cuirassiers de ordonnance Orleans)</t>
  </si>
  <si>
    <t>Тяжелая конница (Gendarmes de ordonnance Piémont)</t>
  </si>
  <si>
    <t>Тяжелая конница (Cuirassiers de ordonnance Savoie)</t>
  </si>
  <si>
    <t>Аркебузеры (Arquebusiers française)</t>
  </si>
  <si>
    <t>Конные аркебузеры, очень хорошие (Arquebusiers à cheval française)</t>
  </si>
  <si>
    <t>Мушкетеры (Mousquetaires léger)</t>
  </si>
  <si>
    <t>Тяжелая конница, охрана генерала (Gentilshommes au bec de corbin)</t>
  </si>
  <si>
    <t>General guard, Heavy cavalry with pistols, shot and charge (Petite garde du Roy)</t>
  </si>
  <si>
    <t>Тяжелая конница, охрана генерала (Petite garde du Roy)</t>
  </si>
  <si>
    <t>Guard, Heavy cavalry with lances, knight charge (Garde écossaise de archers du Roy)</t>
  </si>
  <si>
    <t>Тяжелая конница, гвардия (Garde écossaise de archers du Roy)</t>
  </si>
  <si>
    <t>Тяжелая конница, гвардия (Garde écossaise)</t>
  </si>
  <si>
    <t>Элитные мушкетеры (Régiment de garde française)</t>
  </si>
  <si>
    <t>Легкая пехота, пикинеры, отличная мораль (Pica seca del Coronella)</t>
  </si>
  <si>
    <t>Легкая пехота, пикинеры, отличная мораль (Pica seca del Tercio)</t>
  </si>
  <si>
    <t>Средняя пехота,мечники с большими щитами, отличная мораль (Rodeleros del Tercio Viejo)</t>
  </si>
  <si>
    <t>Средняя пехота,мечники с большими щитами, отличная мораль (Rodeleros del Tercio Nuevo)</t>
  </si>
  <si>
    <t>Средняя пехота,мечники с большими щитами и гранатами, отличная мораль (Granaderos del Tercio de Galeras)</t>
  </si>
  <si>
    <t>Средняя пехота,мечники с большими щитами и гранатами, отличная мораль (Granaderos del Tercio de Armada)</t>
  </si>
  <si>
    <t>Тяжелая пехота, спешенные рыцари (Hombres de arma desmontado)</t>
  </si>
  <si>
    <t>Тяжелая пехота с алебардами (Alabarderos del Coronella)</t>
  </si>
  <si>
    <t>Средняя пехота, пикинеры, отличная мораль (Piqueros del Tercio Nuevo)</t>
  </si>
  <si>
    <t>Легкая конница (Jinetes)</t>
  </si>
  <si>
    <t>Легкая конница с копьями (Caballos de lanza)</t>
  </si>
  <si>
    <t>Конные аркебузеры, очень хорошие (Caballos ligera)</t>
  </si>
  <si>
    <t>Тяжелая конница (Hombres de arma de Cataluña)</t>
  </si>
  <si>
    <t>Тяжелая конница (Coraceros de Castilla)</t>
  </si>
  <si>
    <t>Аркебузеры (Arcabuceros)</t>
  </si>
  <si>
    <t>Аркебузеры (Arcabuceros del Tercio)</t>
  </si>
  <si>
    <t>Мушкетеры с тяжелыми мушкетами (Mosqueteros del Tercio Viejo)</t>
  </si>
  <si>
    <t>Мушкетеры с тяжелыми мушкетами (Mosqueteros del Tercio Nuevo)</t>
  </si>
  <si>
    <t>Тяжелая конница, охрана генерала (Jinetes guardia del Rey)</t>
  </si>
  <si>
    <t>Тяжелая конница, охрана генерала (Corte del Rey)</t>
  </si>
  <si>
    <t>Тяжелая пехота, отличная мораль и характеристики, гвардия (Tudescos con alabarda)</t>
  </si>
  <si>
    <t>Стена повозок или мантелетов с аркебузами на них и ребадекином (Carro de guerra)</t>
  </si>
  <si>
    <t>Тяжелая конница (Hombres de arma de Santiago)</t>
  </si>
  <si>
    <t>Тяжелая конница (Cuirassiers of the Order of Alcantara)</t>
  </si>
  <si>
    <t>Heavy infantry with grenades (Fidalgos)</t>
  </si>
  <si>
    <t>Fidalgos com arcabuzes (Portuguese nobles with arquebus)</t>
  </si>
  <si>
    <t>Medium infantry with light arquebus (Fidalgos com colubretas)</t>
  </si>
  <si>
    <t>Medium infantry with arquebus (Fidalgos com arcabuzes)</t>
  </si>
  <si>
    <t>Fidalgos com colubretas (Portuguese nobles with escopetas)</t>
  </si>
  <si>
    <t>escopetas</t>
  </si>
  <si>
    <t>Light cavalry with crossbows  (Ginetes)</t>
  </si>
  <si>
    <t>Nobres eqvestris (General, Royal guard)</t>
  </si>
  <si>
    <t>Корчи ду Рей (Генерал, Конная гвардия короля)</t>
  </si>
  <si>
    <t>Тяжелая конница, охрана генерала (Corte do Rei)</t>
  </si>
  <si>
    <t>Corte do Rei (General, Royal horse guard)</t>
  </si>
  <si>
    <t>General guard, Heavy cavalry with lances, knight charge (Nobres eqvestris)</t>
  </si>
  <si>
    <t>General guard, Heavy cavalry with pistols, shot and charge(Corte do Rei)</t>
  </si>
  <si>
    <t>Swiss Confederation</t>
  </si>
  <si>
    <t>Jugend mit Spiessen (Swiss youth, pikemen)</t>
  </si>
  <si>
    <t>Light infantry, pikemen (Jugend mit Spiessen)</t>
  </si>
  <si>
    <t>Switzerland</t>
  </si>
  <si>
    <t>Jugend mit Hellebarden (Swiss youth,  halberdiers)</t>
  </si>
  <si>
    <t>Light infantry, halberdiers (Jugend mit Hellebarden)</t>
  </si>
  <si>
    <t>Reisläufer mit Spiessen aus Nidwalden ("Reisläufer", pikemen of Nidwalden)</t>
  </si>
  <si>
    <t>Reisläufer mit Spiessen aus Uri ("Reisläufer", pikemen of Uri)</t>
  </si>
  <si>
    <t>Gendarmes de ordonnance Picardie (Gendarmes of Picardy)</t>
  </si>
  <si>
    <t>Cuirassiers de ordonnance Languedoc (Cuirassiers of Languedoc)</t>
  </si>
  <si>
    <t>Gendarmes de ordonnance Dauphine (Gendarmes of Dauphine)</t>
  </si>
  <si>
    <t>Cuirassiers de ordonnance Auvergne (Cuirassiers of Auvergne)</t>
  </si>
  <si>
    <t>Gendarmes de ordonnance Champagne (Gendarmes of Champagne)</t>
  </si>
  <si>
    <t>Cuirassiers de ordonnance Orleans (Cuirassiers of Orleans)</t>
  </si>
  <si>
    <t>Gendarmes de ordonnance Piémont (Gendarmes of Piedmont)</t>
  </si>
  <si>
    <t>Cuirassiers de ordonnance Savoie (Cuirassiers of Savoy)</t>
  </si>
  <si>
    <t>Pica seca del Coronella (Pikemen of Spanish Coronells)</t>
  </si>
  <si>
    <t>Pica seca del Tercio (Pikemen of Spanish Tercios)</t>
  </si>
  <si>
    <t>Alabarderos del Coronella (Halberdiers of Spanish Coronells)</t>
  </si>
  <si>
    <t>Piqueros del Tercio Nuevo (Pikemen of new Tercios)</t>
  </si>
  <si>
    <t>Hombres de arma de Cataluña (Knights of Catalonia)</t>
  </si>
  <si>
    <t>Coraceros de Castilla (Cuirassiers of Castile)</t>
  </si>
  <si>
    <t>Arcabuceros del Tercio (Arquebusiers of Tercios)</t>
  </si>
  <si>
    <t>Mosqueteros del Tercio Viejo (Musketeers of old Tercios)</t>
  </si>
  <si>
    <t>Mosqueteros del Tercio Nuevo (Musketeers of new Tercios)</t>
  </si>
  <si>
    <t>Jinetes guardia del Rey (General, "Jinetes" of Royal guard)</t>
  </si>
  <si>
    <t>Hombres de arma de Santiago (Knights of Order of Santiago)</t>
  </si>
  <si>
    <t>Coraceros de Alcántara (Cuirassiers of Order of Alcantara)</t>
  </si>
  <si>
    <t>Fidalgos (Foot nobles of Portugal)</t>
  </si>
  <si>
    <t>Ginetes (Jinetes of Portugal)</t>
  </si>
  <si>
    <t>Vieux bande Picardie (Old band of Picardy, pikemen)</t>
  </si>
  <si>
    <t>Vieux bande Piémont (Old band of Piedmont, halberdiers)</t>
  </si>
  <si>
    <t>Épéistes de l’Académie du Roy (Fencers of Royal Academy)</t>
  </si>
  <si>
    <t>Medium infantry, pikemen (Reisläufer mit Spiessen aus Nidwalden)</t>
  </si>
  <si>
    <t>Нидвальден</t>
  </si>
  <si>
    <t>Nidwalden</t>
  </si>
  <si>
    <t>Мортира</t>
  </si>
  <si>
    <t>Mortar (Mortar gun)</t>
  </si>
  <si>
    <t>Среднее полевое орудие</t>
  </si>
  <si>
    <t>Многоствольное полевое орудие</t>
  </si>
  <si>
    <t>Mortar</t>
  </si>
  <si>
    <t>Исламские фракции</t>
  </si>
  <si>
    <t>Islamic factions</t>
  </si>
  <si>
    <t>Medium infantry, halberdiers (Reisläufer mit Hellebarden aus Schwyz)</t>
  </si>
  <si>
    <t>Schwyz</t>
  </si>
  <si>
    <t>Medium infantry, pikemen (Reisläufer mit Spiessen aus Uri)</t>
  </si>
  <si>
    <t>Uri</t>
  </si>
  <si>
    <t>Reisläufer mit Hellebarden aus Unterwalden ("Reisläufer", halberdiers of Unterwalden)</t>
  </si>
  <si>
    <t>Reisläufer mit Hellebarden aus Schwyz ("Reisläufer", halberdiers of Schwyz)</t>
  </si>
  <si>
    <t>Medium infantry, halberdiers (Reisläufer mit Hellebarden aus Unterwalden)</t>
  </si>
  <si>
    <t>Unterwalden</t>
  </si>
  <si>
    <t>Auszüger mit Hellebarden aus Zug (Masters halberdiers of Zug)</t>
  </si>
  <si>
    <t>Heavy infantry, halberdiers (Auszüger mit Hellebarden aus Zug)</t>
  </si>
  <si>
    <t>Zug</t>
  </si>
  <si>
    <t>Аусцюга мит хеллебарден аус Берн (Мастера алебардисты из Берна)</t>
  </si>
  <si>
    <t>Аусцюга мит шписсен аус Цюрих (Мастера пикинеры из Цюриха)</t>
  </si>
  <si>
    <t>Auszüger mit Spiessen aus Zürich (Masters pikemen of Zurich)</t>
  </si>
  <si>
    <t>Тяжелая пехота, пикинеры (Auszüger mit Spiessen aus Zürich)</t>
  </si>
  <si>
    <t>Heavy infantry, pikemen (Auszüger mit Spiessen aus Zürich)</t>
  </si>
  <si>
    <t>Zurich</t>
  </si>
  <si>
    <t>Цюрих</t>
  </si>
  <si>
    <t>Auszüger mit Hellebarden aus Bern (Masters halberdiers of Bern)</t>
  </si>
  <si>
    <t>Тяжелая пехота, алебардеры (Auszüger mit Hellebarden aus Bern)</t>
  </si>
  <si>
    <t>Heavy infantry, halberdiers (Auszüger mit Hellebarden aus Bern)</t>
  </si>
  <si>
    <t>Bern</t>
  </si>
  <si>
    <t>Reisläufer mit Spiessen aus Unterwalden ("Reisläufer", pikemen of Unterwalden)</t>
  </si>
  <si>
    <t>Medium infantry, pikemen (Reisläufer mit Spiessen aus Unterwalden)</t>
  </si>
  <si>
    <t>Auszüger mit Zweihändern aus Solothurn (Masters with "Zweihändern" of Solothurn)</t>
  </si>
  <si>
    <t>Heavy infantry with two-handed swords (Auszüger mit Zweihändern aus Solothurn)</t>
  </si>
  <si>
    <t>Золотурн</t>
  </si>
  <si>
    <t>Solothurn</t>
  </si>
  <si>
    <t>Jugend mit Hakenbüchsen (Swiss youth, arquebusiers)</t>
  </si>
  <si>
    <t>Light infantry, arquebusiers (Jugend mit Hakenbüchsen)</t>
  </si>
  <si>
    <t>Berittene Trabanten der Schweiz (General, Swiss mount trabants )</t>
  </si>
  <si>
    <t>General guard, Heavy cavalry with lances, knight charge (Berittene Trabanten der Schweiz)</t>
  </si>
  <si>
    <t>General guard, Heavy cavalry with pistols, shot and charge(Berittene Trabanten der Schweiz)</t>
  </si>
  <si>
    <t>Fusstrabanten der Schweiz (Foot swiss guard)</t>
  </si>
  <si>
    <t>poleaxe</t>
  </si>
  <si>
    <t>Тяжелая пехота с эспонтонами (Fusstrabanten der Schweiz)</t>
  </si>
  <si>
    <t>эспонтон</t>
  </si>
  <si>
    <t>esponton</t>
  </si>
  <si>
    <t>Heavy infantry with espontons, guard (Fusstrabanten der Schweiz)</t>
  </si>
  <si>
    <t>Heavy infantry with poleaxes, guard (Fusstrabanten der Schweiz)</t>
  </si>
  <si>
    <t xml:space="preserve">Fencing school </t>
  </si>
  <si>
    <t>Mercenaries
(Same unit as Swiss Confederation)</t>
  </si>
  <si>
    <t>Швейцария, Восточная Франция, Северная Италия</t>
  </si>
  <si>
    <t>Switzerland, East France, North Italy</t>
  </si>
  <si>
    <t>Мамаликю ’умара’ (Мамлюки эмиров, тяжелая конница)</t>
  </si>
  <si>
    <t>Mamluk Sultanate</t>
  </si>
  <si>
    <t>Mamālīku ʾumarāʾ (Mamluk emirs, heavy cavalry)</t>
  </si>
  <si>
    <t>Heavy cavalry with lances, knight charge (Mamālīku ʾumarāʾ)</t>
  </si>
  <si>
    <t>Тяжелая конница, рыцарский удар (Mamālīku ʾumarāʾ)</t>
  </si>
  <si>
    <t>yushman</t>
  </si>
  <si>
    <t>yushman, helmet</t>
  </si>
  <si>
    <t>full plate (east)</t>
  </si>
  <si>
    <t>полный доспех (восток)</t>
  </si>
  <si>
    <t>Eastern stables</t>
  </si>
  <si>
    <t>Egypt</t>
  </si>
  <si>
    <t>Eastern barracks</t>
  </si>
  <si>
    <t>Eastern arsenal</t>
  </si>
  <si>
    <t>Мамалик (Мамлюки)</t>
  </si>
  <si>
    <t>Halqatun ("Halka", light auxiliary cavalry)</t>
  </si>
  <si>
    <t>Легкая конница с луками (Halqatun)</t>
  </si>
  <si>
    <t>Light cavalry with bows (Halqatun)</t>
  </si>
  <si>
    <t>Средняя конница, верхний хват копья (Mamluk)</t>
  </si>
  <si>
    <t>Medium cavalry with lances, upper grip lance (Mamluk)</t>
  </si>
  <si>
    <t>Карбиниййюналь-Магриб (Магрибские аркебузеры)</t>
  </si>
  <si>
    <t>Qarbīniyyūna-l-Maḡrib (Maghreb arquebusiers)</t>
  </si>
  <si>
    <t>Средняя пехота, аркебузеры (Qarbīniyyūna-l-Maḡrib)</t>
  </si>
  <si>
    <t>Medium infantry, arquebusiers (Qarbīniyyūna-l-Maḡrib)</t>
  </si>
  <si>
    <t>Карбиниййюна туркуманиййюн (Туркменские аркебузеры)</t>
  </si>
  <si>
    <t>Qarbīniyyūna turkumāniyyūn (Turkmen arquebusiers)</t>
  </si>
  <si>
    <t>Легкая пехота, аркебузеры (Qarbīniyyūna turkumāniyyūn)</t>
  </si>
  <si>
    <t>Light infantry, arquebusiers (Qarbīniyyūna turkumāniyyūn)</t>
  </si>
  <si>
    <t>Мамаликюс-Cультан (Генерал, Мамлюки)</t>
  </si>
  <si>
    <t>Mamālīk (Mamluks)</t>
  </si>
  <si>
    <t>Халька ("Халка", легкая вспомогательная конница)</t>
  </si>
  <si>
    <t>Mamālīku-s-Sulṭān (General, Mamluks)</t>
  </si>
  <si>
    <t>Тяжелая конница, рыцарский удар, охрана генерала (Mamālīku-s-Sulṭān)</t>
  </si>
  <si>
    <t>General guard, Heavy cavalry with lances, knight charge (Mamālīku-s-Sulṭān)</t>
  </si>
  <si>
    <t>’Абид-нафтыйя (Метатели огня)</t>
  </si>
  <si>
    <t>’Abīd nafṭīya (Fire throwers)</t>
  </si>
  <si>
    <t>Легкая пехота с огненными гранатами (’Abīd nafṭīya)</t>
  </si>
  <si>
    <t>Light infantry with incendiary grenades (’Abīd nafṭīya)</t>
  </si>
  <si>
    <t>Zanābik ("Zamburaki", Camels with light canons)</t>
  </si>
  <si>
    <t>Легкие всадники на верблюдах с орудием на верблюжьих горбах, (Zanābik)</t>
  </si>
  <si>
    <t>Camels with light cannons on humps (Zanābik)</t>
  </si>
  <si>
    <t>замбураки</t>
  </si>
  <si>
    <t>zamburaki</t>
  </si>
  <si>
    <t>Инфиждар-шухада (Смертники с самоподрывом)</t>
  </si>
  <si>
    <t>Infijār-šuhadāʾ (Suicide bombers)</t>
  </si>
  <si>
    <t>"Аллах-Бабах" ибн Сотона (Infijār-šuhadāʾ)</t>
  </si>
  <si>
    <t>Algeria and Tunisia</t>
  </si>
  <si>
    <t>Algeria and Tunisia (Capital)</t>
  </si>
  <si>
    <t>’Уулама’ (Религиозные фанатики)</t>
  </si>
  <si>
    <t>ʿUlamāʾ (Religious fanatics)</t>
  </si>
  <si>
    <t>Пешее ополчение французских земль, как крестьяне (Сommunaultes)</t>
  </si>
  <si>
    <t>Пешее ополчение, как крестьяне (Bandidos)</t>
  </si>
  <si>
    <t>Пешее ополчение, как крестьяне (Lançados)</t>
  </si>
  <si>
    <t>Пешее ополчение, как крестьяне  (Degredados)</t>
  </si>
  <si>
    <t>Пешее ополчение, как крестьяне (ʿUlamāʾ)</t>
  </si>
  <si>
    <t>Балдиййюн (Городские жители)</t>
  </si>
  <si>
    <t>Baldiyyūna (City militia)</t>
  </si>
  <si>
    <t>Легкая пехота (Baldiyyūna)</t>
  </si>
  <si>
    <t>Light infantry (Baldiyyūna)</t>
  </si>
  <si>
    <t>Суккануль-Балийяр (Жители балеарских островов)</t>
  </si>
  <si>
    <t>javelins</t>
  </si>
  <si>
    <t>Карбиниййюна мауриййюн (Мавры с аркебузами)</t>
  </si>
  <si>
    <t>Qarbīniyyūna mawriyyūn (Moors with arquebus)</t>
  </si>
  <si>
    <t>Medium infantry, arquebusiers  (Qarbīniyyūna mawriyyūn)</t>
  </si>
  <si>
    <t>Казармы</t>
  </si>
  <si>
    <t>Городское стрельбище</t>
  </si>
  <si>
    <t>Крепостной плац</t>
  </si>
  <si>
    <t>Дворец</t>
  </si>
  <si>
    <t>Восточные казармы</t>
  </si>
  <si>
    <t>Карашинату Арудж Барбарос (Пираты Аруджа Барбароссы)</t>
  </si>
  <si>
    <t>Qarāṣinatu Aruj Barbaros (Pirates of Aruj Barbarossa)</t>
  </si>
  <si>
    <t>Средняя пехота, аркебузеры (Qarbīniyyūna mawriyyūn)</t>
  </si>
  <si>
    <t>Легкая пехота c зажигательными гранатами (Qarāṣinatu Aruj Barbaros)</t>
  </si>
  <si>
    <t>Light infantry with incendiary grenades (Qarāṣinatu Aruj Barbaros)</t>
  </si>
  <si>
    <t>Карашинату Хайруддин Барбарос (Пираты Хайреддина Барбароссы)</t>
  </si>
  <si>
    <t>Qarāṣinatu Hayreddin Barbaros (Pirates of Hayreddin Barbarossa)</t>
  </si>
  <si>
    <t>Легкая пехота c взрывными гранатами (Qarāṣinatu Hayreddin Barbaros)</t>
  </si>
  <si>
    <t>Light infantry with explosive grenades (Qarāṣinatu Hayreddin Barbaros)</t>
  </si>
  <si>
    <t>Барбарун бадавиййюн (Кочевые берберы на верблюдах)</t>
  </si>
  <si>
    <t>Barbarun‎ badawiyyūn (Nomadic berbers on camels)</t>
  </si>
  <si>
    <t>Всадники на верблюдах с ружьями (Barbarun‎ badawiyyūn)</t>
  </si>
  <si>
    <t>Camel riders with light arquebus (Barbarun‎ badawiyyūn)</t>
  </si>
  <si>
    <t>Бадвуль-Магриб (Конные кочевники Магриба)</t>
  </si>
  <si>
    <t>Sukkānu-l-Baliyār (Inhabitants of the Balearic Islands)</t>
  </si>
  <si>
    <t>Легкая пехота с дротиками (Sukkānu-l-Baliyār)</t>
  </si>
  <si>
    <t>Light infantry with javelins (Sukkānu-l-Baliyār)</t>
  </si>
  <si>
    <t>Badwu-l-Maḡrib (Horse nomads of Maghreb)</t>
  </si>
  <si>
    <t>Легкая конница, верхний хват копья (Badwu-l-Maḡrib)</t>
  </si>
  <si>
    <t>Light cavalry with lances, upper grip lance (Badwu-l-Maḡrib)</t>
  </si>
  <si>
    <t>Хуляфа’у туркиййа "Тюфенкчи" (Союзные янычары с мушкетами)</t>
  </si>
  <si>
    <t>Algeria and Tunisia and Crimean Khanate</t>
  </si>
  <si>
    <t>Легкая пехота, янычары с мушкетами, очень мало (Hulafāʾu turkiyyā "Tüfekçi")</t>
  </si>
  <si>
    <t>Light infantry,  janissaries with muskets, very small quantity (Hulafāʾu turkiyyā "Tüfekçi")</t>
  </si>
  <si>
    <t>long arquebus</t>
  </si>
  <si>
    <t>scimitar</t>
  </si>
  <si>
    <t>Ḥulafāʾu turkiyyā "Tüfekçi" (Allied "Janissaries" with muskets)</t>
  </si>
  <si>
    <t>Хуррасун масихиййюн (Генерал, христианская гвардия Султана)</t>
  </si>
  <si>
    <t>Ḥurrāsun‎ masīḥiyyūn (General, Sultan's christian guard)</t>
  </si>
  <si>
    <t>Тяжелая конница, охрана генерала (Ḥurrāsun‎ masīḥiyyūn)</t>
  </si>
  <si>
    <t>General guard, Heavy cavalry with lances, knight charge (Ḥurrāsun‎ masīḥiyyūn)</t>
  </si>
  <si>
    <t>Mahsaniyya ("Major people", Moroccan cavalry)</t>
  </si>
  <si>
    <t>Средняя конница Марокко, одеты в черное, верхний хват копья (Mahsaniyya)</t>
  </si>
  <si>
    <t>North Africa</t>
  </si>
  <si>
    <t xml:space="preserve">Раджлюн ʾАкрад (Пешие курды) </t>
  </si>
  <si>
    <t>Rajlun‎ ʾAkrād (Foot Kurds)</t>
  </si>
  <si>
    <t>Turkey, Egypt</t>
  </si>
  <si>
    <t>Рамуш-Шарк (Арбалетчики Востока)</t>
  </si>
  <si>
    <t>Rāmū‎-š-šarq (Crossbowmen of East)</t>
  </si>
  <si>
    <t>Turkey, Egypt, Africa</t>
  </si>
  <si>
    <t>Турция, Египет, Африка</t>
  </si>
  <si>
    <t>Knechte (Livonian militia)</t>
  </si>
  <si>
    <t>Livonian Confederation</t>
  </si>
  <si>
    <t>brigandine</t>
  </si>
  <si>
    <t>brigandine, helmet</t>
  </si>
  <si>
    <t>Кнехте ("Кнехты", Ливонское ополчение)</t>
  </si>
  <si>
    <t>Хоффляйт (Дворянская конница Ливонии)</t>
  </si>
  <si>
    <t>Hoffleit (Noble cavalry of livonia)</t>
  </si>
  <si>
    <t>Heavy cavalry with lances, knight charge (Hoffleit)</t>
  </si>
  <si>
    <t>Heavy cavalry with pistols, shot and charge (Hoffleit)</t>
  </si>
  <si>
    <t>konchar</t>
  </si>
  <si>
    <t>Livonian</t>
  </si>
  <si>
    <t>Таллин и Рига</t>
  </si>
  <si>
    <t>Tallin and Riga</t>
  </si>
  <si>
    <t>House of Brotherhood of Black Heads</t>
  </si>
  <si>
    <t>Schwarzhäupter (Brotherhood of Black Heads)</t>
  </si>
  <si>
    <t>Heavy cavalry with lances, knight charge (Schwarzhäupter)</t>
  </si>
  <si>
    <t>Heavy cavalry with pistols, shot and charge (Schwarzhäupter)</t>
  </si>
  <si>
    <t>Hoffolk (General, Livonian nobility guard)</t>
  </si>
  <si>
    <t>Electorate of Saxony</t>
  </si>
  <si>
    <t>Фо’пинтете Фрисн (Союзные Фризы)</t>
  </si>
  <si>
    <t>Verbündete Friesen (Allied Frisians)</t>
  </si>
  <si>
    <t>Guisarme</t>
  </si>
  <si>
    <t>Light infantry with Guisarme (Verbündete Friesen)</t>
  </si>
  <si>
    <t>Saxony</t>
  </si>
  <si>
    <t>Саксония</t>
  </si>
  <si>
    <t>Schwarze Banden ("Black bands" landsknechts)</t>
  </si>
  <si>
    <t>Medium infantry, pikemen (Schwarze Banden)</t>
  </si>
  <si>
    <t>Niederdeutsche Landsknechte mit Hellebarden (Low German Landsknechts, halberdiers)</t>
  </si>
  <si>
    <t>Medium infantry, halberdiers (Niederdeutsche Landsknechte mit Hellebarden)</t>
  </si>
  <si>
    <t>Verbündete Landsknechte von Geldern (Allied Landsknechts of Geldern)</t>
  </si>
  <si>
    <t>Medium infantry, pikemen (Verbündete Landsknechte von Geldern)</t>
  </si>
  <si>
    <t>Нито’тёйче Лантскнеште мит хеллепо’тн (Нижненемецкие Ландскнехты, алебардеры)</t>
  </si>
  <si>
    <t>Фо’пинтете Лантскнеште фён Келто’н (Союзные Ландскнехты Гельдерна)</t>
  </si>
  <si>
    <t>Сексише Лантскнеште (Саксонские Ландскнехты)</t>
  </si>
  <si>
    <t>Sächsische Landsknechte (Saxon Landsknechts)</t>
  </si>
  <si>
    <t>Heavy infantry, pikemen (Sächsische Landsknechte)</t>
  </si>
  <si>
    <t>Garde des Herzogs (General, Duke's guard)</t>
  </si>
  <si>
    <t>General guard, Heavy cavalry with lances, knight charge (Hoffolk)</t>
  </si>
  <si>
    <t>General guard, Heavy cavalry with pistols, shot and charge (Hoffolk)</t>
  </si>
  <si>
    <t>General guard, Heavy cavalry with lances, knight charge (Garde des Herzogs)</t>
  </si>
  <si>
    <t>General guard, Heavy cavalry with pistols, shot and charge (Garde des Herzogs)</t>
  </si>
  <si>
    <t>Недадюче Ланскнехьтн мит пекен (Нижненемецкие Ландскнехты, пикинеры)</t>
  </si>
  <si>
    <t>Niederdeutsche Landsknechte mit Piken (Low German Landsknechts, pikemen)</t>
  </si>
  <si>
    <t>Margrave of Brandenburg</t>
  </si>
  <si>
    <t>Medium infantry, pikemen (Niederdeutsche Landsknechte mit Piken)</t>
  </si>
  <si>
    <t>Brandenburg</t>
  </si>
  <si>
    <t>Бранденбург</t>
  </si>
  <si>
    <t>Landsknechte von Brandenburg (Landsknechts of Brandenburg, halberdiers)</t>
  </si>
  <si>
    <t>Heavy infantry, halberdiers (Landsknechte von Brandenburg)</t>
  </si>
  <si>
    <t>Gefolge des Markgrafen (General, Escort of Margrave)</t>
  </si>
  <si>
    <t>General guard, Heavy cavalry with lances, knight charge (Gefolge des Markgrafen)</t>
  </si>
  <si>
    <t>General guard, Heavy cavalry with pistols, shot and charge (Gefolge des Markgrafen)</t>
  </si>
  <si>
    <t>Duchy of Bavaria</t>
  </si>
  <si>
    <t>Ходейча Лондскнехьте (Верхненемецкие Ландскнехты)</t>
  </si>
  <si>
    <t>Гвойге вон ден Хердзог (Генерал, Свита Герцога)</t>
  </si>
  <si>
    <t>Ко’те тес Ха’цёкс (Генерал, Гвардия Герцога)</t>
  </si>
  <si>
    <t>Hochdeutsche Landsknechte (Upper German Landsknechts)</t>
  </si>
  <si>
    <t>Medium infantry with two-handed swords (Hochdeutsche Landsknechte)</t>
  </si>
  <si>
    <t>Бавария</t>
  </si>
  <si>
    <t>Bayrische Ritter (Bavarian knights)</t>
  </si>
  <si>
    <t>Bayrische Kürassiere (Bavarian cuirassiers)</t>
  </si>
  <si>
    <t>Heavy cavalry with lances, knight charge (Bayrische Ritter)</t>
  </si>
  <si>
    <t>Heavy cavalry with pistols, shot and charge (Bayrische Kürassiere)</t>
  </si>
  <si>
    <t>Bavaria</t>
  </si>
  <si>
    <t>Gefolge des Herzogs (General, Duke's retinue)</t>
  </si>
  <si>
    <t>General guard, Heavy cavalry with lances, knight charge (Gefolge des Herzogs)</t>
  </si>
  <si>
    <t>General guard, Heavy cavalry with pistols, shot and charge (Gefolge des Herzogs)</t>
  </si>
  <si>
    <t>Swabian League</t>
  </si>
  <si>
    <t>Swabian League, Archduchy of Austria (Habsburgs), Electorate of Saxony, Margrave of Brandenburg,  Duchy of Bavaria, Livonian Confederation</t>
  </si>
  <si>
    <t>Light infantry with crossbows (Knechte)</t>
  </si>
  <si>
    <t>Light infantry with arquebus (Knechte)</t>
  </si>
  <si>
    <t>Легкая пехота с арбалетами (Knechte)</t>
  </si>
  <si>
    <t>Легкая пехота с аркебузами (Knechte)</t>
  </si>
  <si>
    <t>Швабская лига, Австрия, Саксония, Бранденбург, Бавария, Австрия, Ливония</t>
  </si>
  <si>
    <t>Reisläufer mit Spiessen aus Graubünden ("Reisläufer", pikemen of graubünden)</t>
  </si>
  <si>
    <t>Франция, Италия</t>
  </si>
  <si>
    <t>Аравийские бедуины</t>
  </si>
  <si>
    <t>Африканские берберы</t>
  </si>
  <si>
    <t>Казанские татары</t>
  </si>
  <si>
    <t>Норвежские норвежцы</t>
  </si>
  <si>
    <t>Индейские индейцы</t>
  </si>
  <si>
    <t>Bauern (Peasants)</t>
  </si>
  <si>
    <t>Foot militia of the German lands, like peasants (Bauern)</t>
  </si>
  <si>
    <t>pitchfork</t>
  </si>
  <si>
    <t>Швабия, Австрия, Саксония, Бранденбург, Бавария, Ливония</t>
  </si>
  <si>
    <t xml:space="preserve">Swabia, Austria, Saxony, Brandenburg, Bavaria, Livonia </t>
  </si>
  <si>
    <t>Швабия</t>
  </si>
  <si>
    <t>Швабия (столица)</t>
  </si>
  <si>
    <t>Swabia</t>
  </si>
  <si>
    <t>Swabia (Capital)</t>
  </si>
  <si>
    <t>Schwäbische Bürger mit Piken (Swabian burghers, pikemen )</t>
  </si>
  <si>
    <t>Medium infantry, pikemen (Schwäbische Bürger mit Piken)</t>
  </si>
  <si>
    <t>Швебише добльсельднор мет хеллебарда ("Доппельсолднеры" Швабии, алебардеры)</t>
  </si>
  <si>
    <t>Schwäbische Doppelsöldner mit Hellebarden ("Doppelsoldners" of Swabia, halberdiers)</t>
  </si>
  <si>
    <t>Heavy infantry, halberdiers (Schwäbische Doppelsöldner mit Hellebarden)</t>
  </si>
  <si>
    <t>Schwäbische Bürger mit Zweihandwaffen (Swabian burghers wih two-handed swords)</t>
  </si>
  <si>
    <t>Тяжелая пехота с двуручными мечами (Schwäbische Bürger mit Zweihandwaffen)</t>
  </si>
  <si>
    <t>Heavy infantry wih two-handed swords (Schwäbische Bürger mit Zweihandwaffen)</t>
  </si>
  <si>
    <t xml:space="preserve">Merchant guild </t>
  </si>
  <si>
    <t>Schwäbische Rennfane mit Armbrüsten (Mount vanguard with crossbows )</t>
  </si>
  <si>
    <t>Средняя конница с арбалетами (Schwäbische Rennfane mit Armbrüsten)</t>
  </si>
  <si>
    <t>Medium cavalry with crossbows (Schwäbische Rennfane mit Armbrüsten)</t>
  </si>
  <si>
    <t>Schwäbische Bürger mit Hakenbüchsen (Arquebusiers of Swabia )</t>
  </si>
  <si>
    <t>Light infantry, arquebusiers (Schwäbische Bürger mit Hakenbüchsen)</t>
  </si>
  <si>
    <t>Schwäbische Landsknechte mit Musketen (Musketeers of Swabia )</t>
  </si>
  <si>
    <t>Швебише Ландскнехьте мет мускеда (Мушкетеры Швабии)</t>
  </si>
  <si>
    <t>Musketeers (Schwäbische Landsknechte mit Musketen)</t>
  </si>
  <si>
    <t>Schwäbische Bürger mit Armbrüsten (Burgers with crossbows )</t>
  </si>
  <si>
    <t>Light infantry with crossbows (Schwäbische Bürger mit Armbrüsten)</t>
  </si>
  <si>
    <t>Сity hall</t>
  </si>
  <si>
    <t>Ратуша</t>
  </si>
  <si>
    <t>Garde der Liga (General, Guard League )</t>
  </si>
  <si>
    <t>General guard, Heavy cavalry with lances, knight charge (Garde der Liga)</t>
  </si>
  <si>
    <t>General guard, Heavy cavalry with pistols, shot and charge (Garde der Liga)</t>
  </si>
  <si>
    <t>Fußgarde der Liga (Foot Guard League)</t>
  </si>
  <si>
    <t>Partisane</t>
  </si>
  <si>
    <t>Foot knights with partisane (Fußgarde der Liga)</t>
  </si>
  <si>
    <t>Archduchy of Austria (Habsburgs)</t>
  </si>
  <si>
    <t>Archduchy of Austria (Habsburgs) and Kingdom of Hungary</t>
  </si>
  <si>
    <t>Szekler ("Székelys", Foot light infantry)</t>
  </si>
  <si>
    <t>Light infantry (Szekler)</t>
  </si>
  <si>
    <t>Austria and Hungary</t>
  </si>
  <si>
    <t>Австрия и Венгрия</t>
  </si>
  <si>
    <t>Tirolische Schützen (Tyrolean hand gunners)</t>
  </si>
  <si>
    <t>Light infantry, good arquebusiers (Tirolische Schützen)</t>
  </si>
  <si>
    <t>Light infantry, good arquebusiers with long arquebus  (Tirolische Schützen)</t>
  </si>
  <si>
    <t>Tyrol</t>
  </si>
  <si>
    <t>Steirische Musketiere (Styrian musketeers)</t>
  </si>
  <si>
    <t>Light infantry, musketeers (Steirische Musketiere)</t>
  </si>
  <si>
    <t>Styria</t>
  </si>
  <si>
    <t>Bosnische Banditen (Bosnian bandits)</t>
  </si>
  <si>
    <t>Light infantry with javelins (Bosnische Banditen)</t>
  </si>
  <si>
    <t>Dalmatinische Räuber (Dalmatian robbers)</t>
  </si>
  <si>
    <t>Light infantry with crossbows (Dalmatinische Räuber)</t>
  </si>
  <si>
    <t>Slawonische Verbündete (Slavonian allies)</t>
  </si>
  <si>
    <t>Light infantry with bows (Slawonische Verbündete)</t>
  </si>
  <si>
    <t>Serbische Infanterie (Serbian infantry)</t>
  </si>
  <si>
    <t>Medium infantry, arquebusiers (Serbische Infanterie)</t>
  </si>
  <si>
    <t>Grenzer ("grenzers", Light infantry)</t>
  </si>
  <si>
    <t>Kroatische Reiter ("Croats", light cavalry)</t>
  </si>
  <si>
    <t>Medium infantry, arquebusiers (Grenzer)</t>
  </si>
  <si>
    <t>Light cavalry with lances (Kroatische Reiter)</t>
  </si>
  <si>
    <t>Ritter von Trient (Knights of Trent)</t>
  </si>
  <si>
    <t>Heavy cavalry with lances, knight charge (Ritter von Trient)</t>
  </si>
  <si>
    <t>Heavy cavalry with pistols, shot and charge (Kürassiere der Krain)</t>
  </si>
  <si>
    <t>Крайна</t>
  </si>
  <si>
    <t>Trent</t>
  </si>
  <si>
    <t>Kürassiere der Krain (Cuirassiers of Krajina)</t>
  </si>
  <si>
    <t>Krajina</t>
  </si>
  <si>
    <t>Ritter von Kärnten (Knights of Carinthia)</t>
  </si>
  <si>
    <t>Kürassiere von Österreich (Cuirassiers of Austrian domain)</t>
  </si>
  <si>
    <t>Heavy cavalry with lances, knight charge (Ritter von Kärnten)</t>
  </si>
  <si>
    <t>Heavy cavalry with pistols, shot and charge (Kürassiere von Österreich)</t>
  </si>
  <si>
    <t>Австрия</t>
  </si>
  <si>
    <t>Carinthia</t>
  </si>
  <si>
    <t>Austria</t>
  </si>
  <si>
    <t>Garde des Erzherzogs (General, Archduke's Guard)</t>
  </si>
  <si>
    <t>General guard, Heavy cavalry with lances, knight charge (Garde des Erzherzogs)</t>
  </si>
  <si>
    <t>General guard, Heavy cavalry with pistols, shot and charge (Garde des Erzherzogs)</t>
  </si>
  <si>
    <t>Landsknechte mit Piken (Landsknechts, pikemen)</t>
  </si>
  <si>
    <t>Франция, Италия, Испания, Португалия Германия, Голландия Скандинавия, восточная Европа</t>
  </si>
  <si>
    <t>Landsknechte mit Hellebarden (Landsknechts, halberdiers)</t>
  </si>
  <si>
    <t>Doppelsöldner mit Hellebarden ("Doppelsoldners", halberdiers)</t>
  </si>
  <si>
    <t>Doppelsöldner mit Piken ("Doppelsoldners", pikemen)</t>
  </si>
  <si>
    <t>Doppelsöldner mit Flambergen (Doppelsöldner with "flambergs")</t>
  </si>
  <si>
    <t>Fußritter (Foot German knights)</t>
  </si>
  <si>
    <t>Dismount German knights with poleaxe (Fußritter)</t>
  </si>
  <si>
    <t>Италия, Германия, Голландия Скандинавия, восточная Европа</t>
  </si>
  <si>
    <t>Light Pyrenean cavalry with light crossbows (Ballesteros de caballo)</t>
  </si>
  <si>
    <t>Medium French infantry, pikemen, normal moral  (Vieux bande Picardie)</t>
  </si>
  <si>
    <t>Medium French infantry, halberdiers, normal moral (Vieux bande Piémont)</t>
  </si>
  <si>
    <t>Heavy dismounted French knights (Gendarmes d'pied)</t>
  </si>
  <si>
    <t>Light French infantry with arquebus (Enfantes perdus avec arquebus)</t>
  </si>
  <si>
    <t>Light Swiss infantry, pikemen (Reisläufer mit Spiessen aus Graubünden)</t>
  </si>
  <si>
    <t>Medium German infantry, pikemen (Landsknechte mit Piken)</t>
  </si>
  <si>
    <t>Medium German infantry, halberdiers (Landsknechte mit Hellebarden)</t>
  </si>
  <si>
    <t>Heavy German infantry, halberdiers (Doppelsöldner mit Hellebarden)</t>
  </si>
  <si>
    <t>Heavy German infantry, pikemen (Doppelsöldner mit Piken)</t>
  </si>
  <si>
    <t>Heavy German infantry with two-haded swords (Doppelsöldner mit Flambergen)</t>
  </si>
  <si>
    <t>Medium Moroccan cavalry with lances, upper grip lance (Mahsaniyya)</t>
  </si>
  <si>
    <t>Light Iraqi infantry with scimitars (Rajlun‎ ʾAkrād)</t>
  </si>
  <si>
    <t>Light French infantry with epee and dagger, super elite (Épéistes de l’Académie du Roy)</t>
  </si>
  <si>
    <t>Light Spanish infantry with sword and buckler, super elite (Maestros de esgrima de Barcelona)</t>
  </si>
  <si>
    <t>Light Isalamic infantry with crossbows (Rāmū‎-š-šarq)</t>
  </si>
  <si>
    <t>Легкая Пиренейская конница с арбалетами (Ballesteros de caballo)</t>
  </si>
  <si>
    <t>Средняя Французская пехота, пикинеры, средняя мораль (Vieux bande Picardie)</t>
  </si>
  <si>
    <t>Средняя Французская пехота, алебардеры, средняя мораль (Vieux bande Piémont)</t>
  </si>
  <si>
    <t>Спешенные Французские рыцари с альшписами (Gendarmes d'pied)</t>
  </si>
  <si>
    <t>Средняя Французская пехота, аркебузеры (Enfantes perdus avec arquebus)</t>
  </si>
  <si>
    <t>Легкая Итальянская пехота, аркебузеры</t>
  </si>
  <si>
    <t>Легкая Швейцарская пехота, пикинеры, численность как у швицев (Reisläufer mit Spiessen aus Graubünden)</t>
  </si>
  <si>
    <t>Средняя Немецкая пехота, пикинеры (Landsknechte mit Piken)</t>
  </si>
  <si>
    <t>Средняя Немецкая пехота, алебардеры (Landsknechte mit Hellebarden)</t>
  </si>
  <si>
    <t>Тяжелая Немецкая пехота, алебардеры (Doppelsöldner mit Hellebarden)</t>
  </si>
  <si>
    <t>Тяжелая Немецкая пехота, пикинеры (Doppelsöldner mit Piken)</t>
  </si>
  <si>
    <t>Тяжелая Немецкая пехота, двуручники (Doppelsöldner mit Flambergen)</t>
  </si>
  <si>
    <t>Легкая Немецкая конница с пистолетами (Reiter)</t>
  </si>
  <si>
    <t>Спешенные Немецкие рыцари с полексами (Fußritter)</t>
  </si>
  <si>
    <t>Конные Немецкие аркебузеры (Arkebusierreiter)</t>
  </si>
  <si>
    <t>Средняя Немецкая конница с пистолетами (Schwarze Reiter)</t>
  </si>
  <si>
    <t>Легкая Немецкая пехота, аркебузеры (Landsknechte mit Hakenbüchsen)</t>
  </si>
  <si>
    <t>Тяжелая Немецкая конница (Lehnsleute ritter)</t>
  </si>
  <si>
    <t>Тяжелая Немецкая конница (Deutsche Kürassiere)</t>
  </si>
  <si>
    <t>Легкая Немецкая пехота, пикинеры (Verlorener Haufe)</t>
  </si>
  <si>
    <t>Легкая Итальянская конница с копьем и саблей</t>
  </si>
  <si>
    <t>Легкая Итальянская конница</t>
  </si>
  <si>
    <t>Спешенные Итальянские рыцари с альшписами</t>
  </si>
  <si>
    <t>Тяжелая Итальянская конница с копьями</t>
  </si>
  <si>
    <t>Тяжелая Итальянская конница с пистолетами</t>
  </si>
  <si>
    <t>Средняя Итальянская пехота, аркебузеры</t>
  </si>
  <si>
    <t>Конные Итальянские аркебузеры</t>
  </si>
  <si>
    <t>Мушкетеры Италии с облегченными мушкетами</t>
  </si>
  <si>
    <t>Средняя Итальянская пехота, гвизармеры</t>
  </si>
  <si>
    <t>Легкая Турецкая пехота</t>
  </si>
  <si>
    <t>Легкая Турецкая конница</t>
  </si>
  <si>
    <t>Конное Турецкое ополчение с дротиками</t>
  </si>
  <si>
    <t>Легкая Иракская пехота с ятаганами (Rajlun‎ ʾAkrād)</t>
  </si>
  <si>
    <t>Легкая Валашская конница</t>
  </si>
  <si>
    <t>Легкая Украинская пехота, аркебузеры</t>
  </si>
  <si>
    <t>Легкая Украинская конница</t>
  </si>
  <si>
    <t>Легкая конница Дона</t>
  </si>
  <si>
    <t>Легкая Британская конница с копьями</t>
  </si>
  <si>
    <t>Легкая Британская конница с пистолетами</t>
  </si>
  <si>
    <t>Легкая Британская конница с аркебузами</t>
  </si>
  <si>
    <t>Средняя Немецкая пехота, алебардеры</t>
  </si>
  <si>
    <t>Средняя Валлонская пехота, пикинеры</t>
  </si>
  <si>
    <t>Тяжелая конница из Булони</t>
  </si>
  <si>
    <t>Легкая Шотландская пехота сбаклером имечом</t>
  </si>
  <si>
    <t>Легкая Шотландская пехота с пиками</t>
  </si>
  <si>
    <t>Легкая Шотландская пехота с двуручнымимечами</t>
  </si>
  <si>
    <t>Средняя Ирландская пехота с двуручными мечами</t>
  </si>
  <si>
    <t>Средняя Ирландская пехота с двуручными секирами</t>
  </si>
  <si>
    <t>Пешее ополчение Ирландских рудокопов с кирками в двух руках</t>
  </si>
  <si>
    <t>Тяжелая Немецкая пехота с двуручными мессерами (Fechtbrüder von Sankt Markus)</t>
  </si>
  <si>
    <t>Средняя Итальянская пехота с мечом ищитом</t>
  </si>
  <si>
    <t>Легкая Французская пехота со шпагой и кинжалом во второй руке (Épéistes de l’Académie du Roy)</t>
  </si>
  <si>
    <t>Легкая Испанская пехота с мечом и баклером (Maestros de esgrima de Barcelona)</t>
  </si>
  <si>
    <t>Тяжелая Анатолийская конница с копьем</t>
  </si>
  <si>
    <t>Легкая Исламская пехота с арбалетами (Rāmū‎-š-šarq)</t>
  </si>
  <si>
    <t>Средняя Европейская пехота с арбалетами</t>
  </si>
  <si>
    <t>Легкая пехота Балканского побережья (с ружьями и саблями). и это в описание вставь: Типичная одежда ускоков состояла из курток без рукавов, белых рубашек, брюк средней длины, сандалий и накидки. Как и у запорожских казаков, у многих была бритая голова, которая украшалась только чубом.</t>
  </si>
  <si>
    <t>Тяжелая Чешская пехота с павезами и копьями</t>
  </si>
  <si>
    <t>Легкая пехота Мари с луком и саблей</t>
  </si>
  <si>
    <t>Райта (Легкие немецкие рейтары)</t>
  </si>
  <si>
    <t>Reiter ("Reiters", Light pistol cavalry)</t>
  </si>
  <si>
    <t>Light German pistol cavalry (Reiter)</t>
  </si>
  <si>
    <t>Франция, Италия, Германия, Голландия Скандинавия, восточная Европа</t>
  </si>
  <si>
    <t>France, Italy, German lands, Netherlands, Scandinavia, East Europe</t>
  </si>
  <si>
    <t>Schwarze Reiter ("Black Reiters", Heavy pistol cavalry)</t>
  </si>
  <si>
    <t>Heavy German pistol cavalry (Schwarze Reiter)</t>
  </si>
  <si>
    <t>Italy, German lands, Netherlands, Scandinavia, east Europe</t>
  </si>
  <si>
    <t>France, Italy, Spain, Portugal, German lands, Netherlands, Scandinavia, east Europe</t>
  </si>
  <si>
    <t>Arkebusierreiter (German mount harquebusiers)</t>
  </si>
  <si>
    <t>German mount harquebusiers (Arkebusierreiter)</t>
  </si>
  <si>
    <t>Landsknechte mit Hakenbüchsen (Landsknechts with arquebus)</t>
  </si>
  <si>
    <t>Light German infantry, harquebusiers (Landsknechte mit Hakenbüchsen)</t>
  </si>
  <si>
    <t>Lehnsleute ritter (German knight)</t>
  </si>
  <si>
    <t>Deutsche Kürassiere (German cuirassiers)</t>
  </si>
  <si>
    <t>France, Italu, Spain, German lands, Scandinavia, Netherlands, Britain, east Europe</t>
  </si>
  <si>
    <t>Verlorener Haufe ("Hope Lost", German vanguard)</t>
  </si>
  <si>
    <t>Light German infantry, pikemen (Verlorener Haufe)</t>
  </si>
  <si>
    <t>Hombres de arma (Spanish knights)</t>
  </si>
  <si>
    <t>Тяжелая Испанская конница с копьями (Hombres de arma)</t>
  </si>
  <si>
    <t>Heavy Spanish cavalry with lances, knight charge (Hombres de arma)</t>
  </si>
  <si>
    <t>Heavy German cavalry with lances, knight charge (Lehnsleute ritter)</t>
  </si>
  <si>
    <t>Heavy German cavalry with pistols, shot and charge (Deutsche Kürassiere)</t>
  </si>
  <si>
    <t>Fechtbrüder von Sankt Markus (Fencers of the "Brotherhood of Saint Mark")</t>
  </si>
  <si>
    <t>Heavy German infantry with two-handed messers (Fechtbrüder von Sankt Markus)</t>
  </si>
  <si>
    <t>Gothic plate</t>
  </si>
  <si>
    <t>Germany (Frankfurt)</t>
  </si>
  <si>
    <t>Kingdom of England</t>
  </si>
  <si>
    <t>Пешее ополчение с мечами (Border swords troops)</t>
  </si>
  <si>
    <t>Foot militia of the Portuguese lands, like peasants (Lançados)</t>
  </si>
  <si>
    <t>Foot militia of the Egyptian lands, like peasants (ʿUlamāʾ)</t>
  </si>
  <si>
    <t>Foot militia of the English lands, like peasants  (Border swords troops)</t>
  </si>
  <si>
    <t>Algeria and Tunisia and Mamluk Sultanate</t>
  </si>
  <si>
    <t>Алжир и Тунис и Мамлюкский султанат</t>
  </si>
  <si>
    <t>Border swords troops (Border bands)</t>
  </si>
  <si>
    <t>Road robbers (Road robbers)</t>
  </si>
  <si>
    <t>Пешее ополчение с пистолетами (Road robbers)</t>
  </si>
  <si>
    <t>Foot militia of the English lands with pistols, like peasants (Road robbers)</t>
  </si>
  <si>
    <t>Марин реджимент (Банда морской пехоты)</t>
  </si>
  <si>
    <t>Marine regiment (Marine band)</t>
  </si>
  <si>
    <t>Легкая пехота с полупиками (Marine regiment)</t>
  </si>
  <si>
    <t>Light infantry with demi-pikes (Marine regiment)</t>
  </si>
  <si>
    <t>demi-pike</t>
  </si>
  <si>
    <t>England</t>
  </si>
  <si>
    <t>Йомен каунти билл (Йомены графств с биллами)</t>
  </si>
  <si>
    <t>bill</t>
  </si>
  <si>
    <t>Средняя пехота с биллами (Yeomen County bill)</t>
  </si>
  <si>
    <t>Yeomen County bill (County yeomen, billmen)</t>
  </si>
  <si>
    <t>Meduim infantry with bills (Yeomen County bill)</t>
  </si>
  <si>
    <t xml:space="preserve">Trained Bands pikes (Regular Regiment, pikemen) </t>
  </si>
  <si>
    <t>Средняя пехота с пиками (Trained Bands pikes)</t>
  </si>
  <si>
    <t>Medium infantry with pikes (Trained Bands pikes)</t>
  </si>
  <si>
    <t>Милиша Ландн билл (Ополчение Лондона с биллами)</t>
  </si>
  <si>
    <t>Militia London bill (Militia by London, billmen)</t>
  </si>
  <si>
    <t>Тяжелая пехота сбиллами (Militia London bill)</t>
  </si>
  <si>
    <t>Heavy infantry with bills (Militia London bill)</t>
  </si>
  <si>
    <t>Militia London pikes (Militia by London, pikemen)</t>
  </si>
  <si>
    <t>Тяжелая пехота с пиками (Militia London pikes)</t>
  </si>
  <si>
    <t>Heavy infantry with pikes (Militia London pikes)</t>
  </si>
  <si>
    <t>City hall</t>
  </si>
  <si>
    <t>London</t>
  </si>
  <si>
    <t xml:space="preserve">Foot Men at arms (Foot knights) </t>
  </si>
  <si>
    <t>Пешие рыцари с топорами (Foot Men at arms)</t>
  </si>
  <si>
    <t>Foot knights with axe (Foot Men at arms)</t>
  </si>
  <si>
    <t>Швейцария (столица)</t>
  </si>
  <si>
    <t>Switzerland (Capital)</t>
  </si>
  <si>
    <t>Англия (Столица)</t>
  </si>
  <si>
    <t>Ланче спеццате Венециани (Венецианские "Сломанные копья")</t>
  </si>
  <si>
    <t>Саксония (Столица)</t>
  </si>
  <si>
    <t>Saxony (Capital)</t>
  </si>
  <si>
    <t>Бранденбург (Столица)</t>
  </si>
  <si>
    <t>Brandenburg (Capital)</t>
  </si>
  <si>
    <t>Demi-lancers ("Demi-lancers")</t>
  </si>
  <si>
    <t>Средняя конница с копьями (Demi-lancers)</t>
  </si>
  <si>
    <t>Medium cavalry with lances, knight charge (Demi-lancers)</t>
  </si>
  <si>
    <t>Reiters (English Reiters)</t>
  </si>
  <si>
    <t>Средняя конница с пистолетами (Reiters)</t>
  </si>
  <si>
    <t>Medium cavalry with pistols (Reiters)</t>
  </si>
  <si>
    <t>Men at arms Gentry (Knights)</t>
  </si>
  <si>
    <t>Тяжелая конница с копьями (Men at arms Gentry)</t>
  </si>
  <si>
    <t>Heavy cavalry with lances, knight charge (Men at arms Gentry)</t>
  </si>
  <si>
    <t>Firearms Militia urban (City militia, arquebusiers)</t>
  </si>
  <si>
    <t>Легкая пехота с аркебузами (Firearms Militia urban)</t>
  </si>
  <si>
    <t>Light infantry with arquebus (Firearms Militia urban)</t>
  </si>
  <si>
    <t>Легкая пехота с аркебузами (Firearms Trained Bands)</t>
  </si>
  <si>
    <t>Light infantry with arquebus (Firearms Trained Bands)</t>
  </si>
  <si>
    <t>Firearms Trained Bands (Regular Regiment, arquebusiers)</t>
  </si>
  <si>
    <t>Musketeers Trained Bands (Regular Company, musketeers)</t>
  </si>
  <si>
    <t>Легкая пехота с облегченными мушкетами (Musketeers Trained Bands)</t>
  </si>
  <si>
    <t>Light infantry with lightweight muskets (Musketeers Trained Bands)</t>
  </si>
  <si>
    <t>Crossbow Border Horse ("Border Horse", Mount raiders)</t>
  </si>
  <si>
    <t>Легкая конница с арбалетами (Crossbow Border Horse)</t>
  </si>
  <si>
    <t>Light cavalry with crossbows (Crossbow Border Horse)</t>
  </si>
  <si>
    <t>Longbow Yeomen County (County yeomen, bowmen)</t>
  </si>
  <si>
    <t>Light infantry with longbows (Longbow Yeomen County)</t>
  </si>
  <si>
    <t>Легкая пехота с длинными луками (Longbow Yeomen County)</t>
  </si>
  <si>
    <t>Sailors bow Regiment (Naval Regiment, bowmen)</t>
  </si>
  <si>
    <t>Средняя пехота, лучники (Sailors bow Regiment)</t>
  </si>
  <si>
    <t>Medium infantry with longbows (Sailors bow Regiment)</t>
  </si>
  <si>
    <t>Лонгбоу Йомен каунти (Йомены графств с луками)</t>
  </si>
  <si>
    <t>Уэльс лонгбоу Йомен (Йомены Уэльса с луками)</t>
  </si>
  <si>
    <t>Wales longbow Yeomen (Wales Yeomen, longbowmen)</t>
  </si>
  <si>
    <t>Light infantry with longbows (Wales longbow Yeomen)</t>
  </si>
  <si>
    <t>Легкая пехота, хорошие лучники (Wales longbow Yeomen)</t>
  </si>
  <si>
    <t>Wales</t>
  </si>
  <si>
    <t>Пэншинес Кингс Cпирс (Генерал, "Королевские копья")</t>
  </si>
  <si>
    <t>Тяжелая конница, охрана генерала (Pensions Kings Spears)</t>
  </si>
  <si>
    <t>Pensions Kings Ыpears (General, "Kings Spears" company)</t>
  </si>
  <si>
    <t>Yeomen Gard Regiment (General, Royal horse guard)</t>
  </si>
  <si>
    <t>Тяжелая конница, охрана генерала (Yeomen Gard Regiment)</t>
  </si>
  <si>
    <t>General guard, Heavy cavalry with lances, knight charge (Pensions Kings Spears)</t>
  </si>
  <si>
    <t>General guard, Heavy cavalry with pistols, shot and charge(Yeomen Gard Regiment)</t>
  </si>
  <si>
    <t>Yeomen Gard (Foot Royal guard)</t>
  </si>
  <si>
    <t>Тяжелая пехота, гвардия (Yeomen Gard)</t>
  </si>
  <si>
    <t>Heavy infantry, guard, bowmen (Yeomen Gard)</t>
  </si>
  <si>
    <t>England (Capital)</t>
  </si>
  <si>
    <t>wagon</t>
  </si>
  <si>
    <t>Carro de guerra (Battle wagons)</t>
  </si>
  <si>
    <t>Battle wagons (Carro de guerra)</t>
  </si>
  <si>
    <t>Battle Wagons (Battle Wagons)</t>
  </si>
  <si>
    <t>Стена повозок или мантелетов с аркебузами на них и ребадекином (Battle Wagons)</t>
  </si>
  <si>
    <t>Королевство Кхмеров (Королевство Камбоджа)</t>
  </si>
  <si>
    <t>Khmer Kingdom (Kingdom of Cambodia)</t>
  </si>
  <si>
    <t>кхмеры с лопатой</t>
  </si>
  <si>
    <t>кхмеры с луком</t>
  </si>
  <si>
    <t>кхмеры с мечом и щитом</t>
  </si>
  <si>
    <t>Союзные тайцы (сиам) с массажем</t>
  </si>
  <si>
    <t>Слон c лучниками</t>
  </si>
  <si>
    <t>Слон с аркебузерами (поздняя 2 половина века)</t>
  </si>
  <si>
    <t>Бронированный слон с двуручным копьем</t>
  </si>
  <si>
    <t>бронированный слон генерал</t>
  </si>
  <si>
    <t>Китайцы с гуань дао (алебарда). Мясное мясовое мяснище</t>
  </si>
  <si>
    <t>Японские вако (пираты) с мечами</t>
  </si>
  <si>
    <t>Японские ронины в доспехах с мечами</t>
  </si>
  <si>
    <t>индонезийцы (ребелы)</t>
  </si>
  <si>
    <t>маори?????????????</t>
  </si>
  <si>
    <t>индокитайцы (ребелы) с бамбуковыми копьями</t>
  </si>
  <si>
    <t>Слон</t>
  </si>
  <si>
    <t>Роделерос</t>
  </si>
  <si>
    <t>Grand Duchy of Moscow</t>
  </si>
  <si>
    <t>Пешее ополчение (Жильцы)</t>
  </si>
  <si>
    <t>bear spear</t>
  </si>
  <si>
    <t>Peshaya Rat' (Infantry of Lands)</t>
  </si>
  <si>
    <t>Легкая пехота  (Пешая рать)</t>
  </si>
  <si>
    <t>Light infantry (Peshaya Rat')</t>
  </si>
  <si>
    <t>sovnya</t>
  </si>
  <si>
    <t>Tegilyay, helmet</t>
  </si>
  <si>
    <t>Tegilyay, fur hat</t>
  </si>
  <si>
    <t>Russia</t>
  </si>
  <si>
    <t>Легкая конница с луком и саблей (Боевые холопы)</t>
  </si>
  <si>
    <t>Служилые татары Касимова (Легкая татарская конница)</t>
  </si>
  <si>
    <t>Stanichnie Kazaki (Cossacs cavalry)</t>
  </si>
  <si>
    <t>Легкая конница с луком и саблей (Станичные казаки)</t>
  </si>
  <si>
    <t>Light cavalry with bows (Stanichnie Kazaki)</t>
  </si>
  <si>
    <t>South of Russia</t>
  </si>
  <si>
    <t>Легкая конница с луком и саблей (Служилые татары Касимова)</t>
  </si>
  <si>
    <t>тегиляй, бумажный шлем (меховая шапка у татар)</t>
  </si>
  <si>
    <t>Bezkonnie Deti boyarskie (Foot "Boyar children")</t>
  </si>
  <si>
    <t>Безконные Дети боярские (Пешие "Дети боярские")</t>
  </si>
  <si>
    <t>Средняя пехота с луками (Безконные Дети боярские)</t>
  </si>
  <si>
    <t>Medium infantry with bows (Bezkonnie Deti boyarskie)</t>
  </si>
  <si>
    <t>Sluzhilie dvoryane (Gentry cavalry)</t>
  </si>
  <si>
    <t>Средняя конница с луками (Служилые дворяне)</t>
  </si>
  <si>
    <t>Medium cavalry with bows (Sluzhilie dvoryane)</t>
  </si>
  <si>
    <t>Deti boyarskie ("Boyar children" cavalry)</t>
  </si>
  <si>
    <t>Средняя конница с луками (Дети боярские)</t>
  </si>
  <si>
    <t>Medium cavalry withh bows (Deti boyarskie)</t>
  </si>
  <si>
    <t>Vibornaya rat' (Elite lance cavalry)</t>
  </si>
  <si>
    <t>Средняя конница с копьем (Выборная рать)</t>
  </si>
  <si>
    <t>Medium cavalry with lances, knight charge (Vibornaya rat')</t>
  </si>
  <si>
    <t>six-feathered mace</t>
  </si>
  <si>
    <t>Pischalniki (Arquebusiers)</t>
  </si>
  <si>
    <t>Легкая пехота с аркебузами (Пищальники)</t>
  </si>
  <si>
    <t>Light infantry with arquebus (Pischalniki)</t>
  </si>
  <si>
    <t>Zhiltsy (Militia of Lands )</t>
  </si>
  <si>
    <t>Foot militia of the Russian lands, like peasants (Zhiltsy)</t>
  </si>
  <si>
    <t>Boevie Holopy (Battle servants, horse archers)</t>
  </si>
  <si>
    <t>Light cavalry with bows (Boevie Holopy)</t>
  </si>
  <si>
    <t>Sluzhilie tatary Kasimova (Qasim Tatars, horse archers)</t>
  </si>
  <si>
    <t>Light cavalry with bows (Sluzhilie tatary Kasimova)</t>
  </si>
  <si>
    <t>Gorodovie Streltsy ("Streltsy", arquebusiers)</t>
  </si>
  <si>
    <t>Light infantry with long aquebus (Gorodovie Streltsy)</t>
  </si>
  <si>
    <t>Легкая пехота с длинными аркебузами (Стрельцы)</t>
  </si>
  <si>
    <t>Moscovskie Streltsy (Moscow "Streltsy", foot quard)</t>
  </si>
  <si>
    <t>Легкая пехота с длинными аркебузами, гвардия (Московские стрельцы)</t>
  </si>
  <si>
    <t>Light infantry with long aquebus, guard (Moscovskie Streltsy)</t>
  </si>
  <si>
    <t>Miscow</t>
  </si>
  <si>
    <t>Пешие городовые казаки (Казацкая пехота)</t>
  </si>
  <si>
    <t>Peshie gorodovie Kazaki (Foot Cossacs)</t>
  </si>
  <si>
    <t>Легкая пехота с луком (Пешие городовые казаки)</t>
  </si>
  <si>
    <t>Light infantry with bows (Peshie gorodovie Kazaki)</t>
  </si>
  <si>
    <t>Dvoryane ognennogo boya (Gentry mount arqcuebusiers)</t>
  </si>
  <si>
    <t>Конные аркебузеры (Дворяне огненного боя)</t>
  </si>
  <si>
    <t>Mount arquebusiers (Dvoryane ognennogo boya)</t>
  </si>
  <si>
    <t>Gosudarev Polk (General, Horse guard)</t>
  </si>
  <si>
    <t>Охрана генерала, гвардия (Государев полк)</t>
  </si>
  <si>
    <t>General guard, Heavy cavalry with lances, knight charge (Gosudarev Polk)</t>
  </si>
  <si>
    <t>Жильцы (Земское ополчение)</t>
  </si>
  <si>
    <t>Пешая рать (Земская пехота)</t>
  </si>
  <si>
    <t>Stremyannie Streltsy (Tsar horse guard)</t>
  </si>
  <si>
    <t>Средняя конница с копьями (Стремянные стрельцы)</t>
  </si>
  <si>
    <t>Medium cavalry with lances, knight charge (Stremyannie Streltsy)</t>
  </si>
  <si>
    <t>Россия (Столица)</t>
  </si>
  <si>
    <t>Russia (Capital)</t>
  </si>
  <si>
    <t>Ryndy (Foot Tsar guard)</t>
  </si>
  <si>
    <t>Пешая гвардия (Рынды)</t>
  </si>
  <si>
    <t>Heavy infantry, guard (Ryndy)</t>
  </si>
  <si>
    <t>Gulyay-gorod (Battle wagons)</t>
  </si>
  <si>
    <t>Стена повозок или мантелетов с аркебузами на них и ребадекином (Гуляй-город)</t>
  </si>
  <si>
    <t>Гуляй-город (Боевые повозки)</t>
  </si>
  <si>
    <t xml:space="preserve"> Battle wagons (Gulyay-gorod)</t>
  </si>
  <si>
    <t>Ottoman Empire</t>
  </si>
  <si>
    <t>Kingdom of Hungary</t>
  </si>
  <si>
    <t>Kingdom of Poland</t>
  </si>
  <si>
    <t>Order of Hospitallers</t>
  </si>
  <si>
    <t>Grand Duchy of Lithuania</t>
  </si>
  <si>
    <t>Kingdom of Sweden</t>
  </si>
  <si>
    <t>Kingdom of Denmark</t>
  </si>
  <si>
    <t>Seventeen provinces (Burgundy and the Netherlands)</t>
  </si>
  <si>
    <t>Papal State</t>
  </si>
  <si>
    <t>Duchy of Milan</t>
  </si>
  <si>
    <t>Republic of Venice</t>
  </si>
  <si>
    <t>Republic of Florence</t>
  </si>
  <si>
    <t>Aztec Empire</t>
  </si>
  <si>
    <t>Crimean Khanate</t>
  </si>
  <si>
    <t>Kingdom of Scotland</t>
  </si>
  <si>
    <t>voice_type</t>
  </si>
  <si>
    <t>banner faction</t>
  </si>
  <si>
    <t>banner holy</t>
  </si>
  <si>
    <t>mount_effect</t>
  </si>
  <si>
    <t>attributes</t>
  </si>
  <si>
    <t>formation</t>
  </si>
  <si>
    <t>stat_health</t>
  </si>
  <si>
    <t>stat_pri</t>
  </si>
  <si>
    <t>stat_sec</t>
  </si>
  <si>
    <t>stat_heat</t>
  </si>
  <si>
    <t>stat_ground; Модификатор почвы:заросли</t>
  </si>
  <si>
    <t>stat_ground; Модификатор почвы:песок</t>
  </si>
  <si>
    <t>stat_ground; Модификатор почвы:лес</t>
  </si>
  <si>
    <t>stat_ground; Модификатор почвы:снег</t>
  </si>
  <si>
    <t>stat_mental; боевой дух</t>
  </si>
  <si>
    <t>stat_mental; Дисцпилина</t>
  </si>
  <si>
    <t>stat_mental; Тренированность</t>
  </si>
  <si>
    <t>stat_cost; цена</t>
  </si>
  <si>
    <t>stat_cost; содержание</t>
  </si>
  <si>
    <t>recruit_priority_offset</t>
  </si>
  <si>
    <t>ID</t>
  </si>
  <si>
    <t>category</t>
  </si>
  <si>
    <t>class</t>
  </si>
  <si>
    <t>Описание юнита</t>
  </si>
  <si>
    <t>баннер</t>
  </si>
  <si>
    <t>баннер при священной войне</t>
  </si>
  <si>
    <r>
      <t xml:space="preserve">Номер юнита. Его </t>
    </r>
    <r>
      <rPr>
        <b/>
        <sz val="11"/>
        <color theme="1"/>
        <rFont val="Calibri"/>
        <family val="2"/>
        <charset val="204"/>
        <scheme val="minor"/>
      </rPr>
      <t>type и dictionary</t>
    </r>
  </si>
  <si>
    <r>
      <t xml:space="preserve">Категория в ЕДУ; </t>
    </r>
    <r>
      <rPr>
        <b/>
        <sz val="11"/>
        <color theme="1"/>
        <rFont val="Calibri"/>
        <family val="2"/>
        <charset val="204"/>
        <scheme val="minor"/>
      </rPr>
      <t>конница=cavalry; пехота=infantry; корабль=ship; осадная=siege</t>
    </r>
  </si>
  <si>
    <r>
      <t xml:space="preserve">ЧИСЛО солдат, которое прописывается в ЕДУ в строке </t>
    </r>
    <r>
      <rPr>
        <b/>
        <sz val="11"/>
        <color theme="1"/>
        <rFont val="Calibri"/>
        <family val="2"/>
        <charset val="204"/>
        <scheme val="minor"/>
      </rPr>
      <t>soldier</t>
    </r>
  </si>
  <si>
    <t>бонус-малус против животных</t>
  </si>
  <si>
    <t>всем 1</t>
  </si>
  <si>
    <t xml:space="preserve">Тип голоса в ЕДУ; </t>
  </si>
  <si>
    <r>
      <t xml:space="preserve">Класс в ЕДУ; </t>
    </r>
    <r>
      <rPr>
        <b/>
        <sz val="11"/>
        <color theme="1"/>
        <rFont val="Calibri"/>
        <family val="2"/>
        <charset val="204"/>
        <scheme val="minor"/>
      </rPr>
      <t>light=Лёгкий, Лёгкий(средний), Средний; heavy=Тяжёлый(средний), Тяжёлый; spearmen=Копейщики(лёгкий), Копейщики(средний), Копейщики(тяжёлый); missile=Стрелковый(лёгкий), Стрелковый(средний), Стрелковый(тяжёлый)</t>
    </r>
  </si>
  <si>
    <t>основная броня</t>
  </si>
  <si>
    <t>улучшения в кузнице</t>
  </si>
  <si>
    <t>эпоха</t>
  </si>
  <si>
    <t>stat_pri_armour</t>
  </si>
  <si>
    <t>move_speed_mod</t>
  </si>
  <si>
    <t>в атрибутах прописывается</t>
  </si>
  <si>
    <t>stat_ground</t>
  </si>
  <si>
    <t>stat_mental</t>
  </si>
  <si>
    <t>stat_cost</t>
  </si>
  <si>
    <t>думаю не нужна эта строка вообще</t>
  </si>
  <si>
    <t>Атака основного оружия</t>
  </si>
  <si>
    <t>Атака дополнительного оружия</t>
  </si>
  <si>
    <t>no, 0, 0, melee, melee_blade, piercing, axe, 25, 1</t>
  </si>
  <si>
    <t>stat_pri или stat_sec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</si>
</sst>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Black"/>
      <family val="2"/>
      <charset val="204"/>
    </font>
    <font>
      <i/>
      <sz val="11"/>
      <color theme="0"/>
      <name val="Calibri"/>
      <family val="2"/>
      <charset val="204"/>
      <scheme val="minor"/>
    </font>
    <font>
      <b/>
      <sz val="14"/>
      <color theme="1"/>
      <name val="Arial Black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Arial Black"/>
      <family val="2"/>
      <charset val="204"/>
    </font>
    <font>
      <sz val="11"/>
      <color theme="1"/>
      <name val="Calibri"/>
      <scheme val="minor"/>
    </font>
    <font>
      <b/>
      <sz val="14"/>
      <color theme="1"/>
      <name val="Arial Black"/>
    </font>
    <font>
      <b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FFFF00"/>
      <name val="Calibri"/>
      <family val="2"/>
      <charset val="204"/>
      <scheme val="minor"/>
    </font>
    <font>
      <b/>
      <sz val="10"/>
      <color rgb="FF92D050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A5FBF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46" fillId="0" borderId="0"/>
    <xf numFmtId="9" fontId="57" fillId="0" borderId="0" applyFont="0" applyFill="0" applyBorder="0" applyAlignment="0" applyProtection="0"/>
  </cellStyleXfs>
  <cellXfs count="1066">
    <xf numFmtId="0" fontId="0" fillId="0" borderId="0" xfId="0"/>
    <xf numFmtId="0" fontId="47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7" fillId="0" borderId="1" xfId="0" applyFont="1" applyBorder="1"/>
    <xf numFmtId="0" fontId="0" fillId="0" borderId="1" xfId="0" applyBorder="1"/>
    <xf numFmtId="0" fontId="49" fillId="0" borderId="1" xfId="0" applyFont="1" applyBorder="1"/>
    <xf numFmtId="0" fontId="50" fillId="0" borderId="0" xfId="0" applyFont="1" applyAlignment="1">
      <alignment horizontal="center"/>
    </xf>
    <xf numFmtId="0" fontId="49" fillId="0" borderId="0" xfId="0" applyFont="1" applyBorder="1"/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5" xfId="0" applyBorder="1"/>
    <xf numFmtId="0" fontId="48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7" fillId="0" borderId="2" xfId="0" applyFont="1" applyBorder="1"/>
    <xf numFmtId="0" fontId="47" fillId="0" borderId="5" xfId="0" applyFont="1" applyBorder="1"/>
    <xf numFmtId="0" fontId="47" fillId="0" borderId="5" xfId="0" applyFont="1" applyBorder="1" applyAlignment="1">
      <alignment wrapText="1"/>
    </xf>
    <xf numFmtId="0" fontId="51" fillId="0" borderId="4" xfId="0" applyFont="1" applyBorder="1"/>
    <xf numFmtId="0" fontId="50" fillId="0" borderId="0" xfId="0" applyFont="1" applyAlignment="1">
      <alignment horizontal="center"/>
    </xf>
    <xf numFmtId="0" fontId="51" fillId="0" borderId="0" xfId="0" applyFont="1" applyBorder="1"/>
    <xf numFmtId="0" fontId="46" fillId="0" borderId="0" xfId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46" fillId="7" borderId="0" xfId="1" applyFill="1" applyAlignment="1">
      <alignment horizontal="center" vertical="center" wrapText="1"/>
    </xf>
    <xf numFmtId="0" fontId="46" fillId="7" borderId="6" xfId="1" applyFill="1" applyBorder="1" applyAlignment="1">
      <alignment horizontal="center" vertical="center" wrapText="1"/>
    </xf>
    <xf numFmtId="49" fontId="46" fillId="7" borderId="0" xfId="1" applyNumberFormat="1" applyFill="1" applyAlignment="1">
      <alignment horizontal="center" vertical="center" wrapText="1"/>
    </xf>
    <xf numFmtId="0" fontId="45" fillId="7" borderId="0" xfId="1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46" fillId="8" borderId="0" xfId="1" applyFill="1" applyAlignment="1">
      <alignment horizontal="center" vertical="center" wrapText="1"/>
    </xf>
    <xf numFmtId="0" fontId="46" fillId="8" borderId="6" xfId="1" applyFill="1" applyBorder="1" applyAlignment="1">
      <alignment horizontal="center" vertical="center" wrapText="1"/>
    </xf>
    <xf numFmtId="49" fontId="46" fillId="8" borderId="0" xfId="1" applyNumberFormat="1" applyFill="1" applyAlignment="1">
      <alignment horizontal="center" vertical="center" wrapText="1"/>
    </xf>
    <xf numFmtId="0" fontId="45" fillId="8" borderId="0" xfId="1" applyFont="1" applyFill="1" applyAlignment="1">
      <alignment horizontal="center" vertical="center" wrapText="1"/>
    </xf>
    <xf numFmtId="0" fontId="44" fillId="4" borderId="0" xfId="1" applyFont="1" applyFill="1" applyAlignment="1">
      <alignment horizontal="center" vertical="center" wrapText="1"/>
    </xf>
    <xf numFmtId="0" fontId="46" fillId="4" borderId="0" xfId="1" applyFill="1" applyAlignment="1">
      <alignment horizontal="center" vertical="center" wrapText="1"/>
    </xf>
    <xf numFmtId="0" fontId="45" fillId="4" borderId="0" xfId="1" applyFont="1" applyFill="1" applyAlignment="1">
      <alignment horizontal="center" vertical="center" wrapText="1"/>
    </xf>
    <xf numFmtId="0" fontId="45" fillId="4" borderId="6" xfId="1" applyFont="1" applyFill="1" applyBorder="1" applyAlignment="1">
      <alignment horizontal="center" vertical="center" wrapText="1"/>
    </xf>
    <xf numFmtId="0" fontId="46" fillId="4" borderId="6" xfId="1" applyFill="1" applyBorder="1" applyAlignment="1">
      <alignment horizontal="center" vertical="center" wrapText="1"/>
    </xf>
    <xf numFmtId="49" fontId="46" fillId="4" borderId="0" xfId="1" applyNumberFormat="1" applyFill="1" applyAlignment="1">
      <alignment horizontal="center" vertical="center" wrapText="1"/>
    </xf>
    <xf numFmtId="0" fontId="43" fillId="4" borderId="0" xfId="1" applyFont="1" applyFill="1" applyAlignment="1">
      <alignment horizontal="center" vertical="center" wrapText="1"/>
    </xf>
    <xf numFmtId="0" fontId="44" fillId="4" borderId="6" xfId="1" applyFont="1" applyFill="1" applyBorder="1" applyAlignment="1">
      <alignment horizontal="center" vertical="center" wrapText="1"/>
    </xf>
    <xf numFmtId="0" fontId="46" fillId="11" borderId="0" xfId="1" applyFill="1" applyAlignment="1">
      <alignment horizontal="center" vertical="center" wrapText="1"/>
    </xf>
    <xf numFmtId="0" fontId="44" fillId="11" borderId="0" xfId="1" applyFont="1" applyFill="1" applyAlignment="1">
      <alignment horizontal="center" vertical="center" wrapText="1"/>
    </xf>
    <xf numFmtId="0" fontId="46" fillId="11" borderId="6" xfId="1" applyFill="1" applyBorder="1" applyAlignment="1">
      <alignment horizontal="center" vertical="center" wrapText="1"/>
    </xf>
    <xf numFmtId="49" fontId="46" fillId="11" borderId="0" xfId="1" applyNumberFormat="1" applyFill="1" applyAlignment="1">
      <alignment horizontal="center" vertical="center" wrapText="1"/>
    </xf>
    <xf numFmtId="0" fontId="42" fillId="11" borderId="0" xfId="1" applyFont="1" applyFill="1" applyAlignment="1">
      <alignment horizontal="center" vertical="center" wrapText="1"/>
    </xf>
    <xf numFmtId="0" fontId="46" fillId="12" borderId="0" xfId="1" applyFill="1" applyAlignment="1">
      <alignment horizontal="center" vertical="center" wrapText="1"/>
    </xf>
    <xf numFmtId="0" fontId="44" fillId="12" borderId="0" xfId="1" applyFont="1" applyFill="1" applyAlignment="1">
      <alignment horizontal="center" vertical="center" wrapText="1"/>
    </xf>
    <xf numFmtId="0" fontId="46" fillId="12" borderId="6" xfId="1" applyFill="1" applyBorder="1" applyAlignment="1">
      <alignment horizontal="center" vertical="center" wrapText="1"/>
    </xf>
    <xf numFmtId="49" fontId="46" fillId="12" borderId="0" xfId="1" applyNumberFormat="1" applyFill="1" applyAlignment="1">
      <alignment horizontal="center" vertical="center" wrapText="1"/>
    </xf>
    <xf numFmtId="0" fontId="44" fillId="14" borderId="0" xfId="1" applyFont="1" applyFill="1" applyAlignment="1">
      <alignment horizontal="center" vertical="center" wrapText="1"/>
    </xf>
    <xf numFmtId="0" fontId="46" fillId="14" borderId="0" xfId="1" applyFill="1" applyAlignment="1">
      <alignment horizontal="center" vertical="center" wrapText="1"/>
    </xf>
    <xf numFmtId="0" fontId="46" fillId="14" borderId="6" xfId="1" applyFill="1" applyBorder="1" applyAlignment="1">
      <alignment horizontal="center" vertical="center" wrapText="1"/>
    </xf>
    <xf numFmtId="49" fontId="46" fillId="14" borderId="0" xfId="1" applyNumberFormat="1" applyFill="1" applyAlignment="1">
      <alignment horizontal="center" vertical="center" wrapText="1"/>
    </xf>
    <xf numFmtId="0" fontId="43" fillId="14" borderId="0" xfId="1" applyFont="1" applyFill="1" applyAlignment="1">
      <alignment horizontal="center" vertical="center" wrapText="1"/>
    </xf>
    <xf numFmtId="0" fontId="44" fillId="10" borderId="0" xfId="1" applyFont="1" applyFill="1" applyAlignment="1">
      <alignment horizontal="center" vertical="center" wrapText="1"/>
    </xf>
    <xf numFmtId="0" fontId="46" fillId="10" borderId="0" xfId="1" applyFill="1" applyAlignment="1">
      <alignment horizontal="center" vertical="center" wrapText="1"/>
    </xf>
    <xf numFmtId="0" fontId="46" fillId="10" borderId="6" xfId="1" applyFill="1" applyBorder="1" applyAlignment="1">
      <alignment horizontal="center" vertical="center" wrapText="1"/>
    </xf>
    <xf numFmtId="49" fontId="46" fillId="10" borderId="0" xfId="1" applyNumberFormat="1" applyFill="1" applyAlignment="1">
      <alignment horizontal="center" vertical="center" wrapText="1"/>
    </xf>
    <xf numFmtId="0" fontId="43" fillId="10" borderId="0" xfId="1" applyFont="1" applyFill="1" applyAlignment="1">
      <alignment horizontal="center" vertical="center" wrapText="1"/>
    </xf>
    <xf numFmtId="0" fontId="44" fillId="15" borderId="0" xfId="1" applyFont="1" applyFill="1" applyAlignment="1">
      <alignment horizontal="center" vertical="center" wrapText="1"/>
    </xf>
    <xf numFmtId="0" fontId="46" fillId="15" borderId="0" xfId="1" applyFill="1" applyAlignment="1">
      <alignment horizontal="center" vertical="center" wrapText="1"/>
    </xf>
    <xf numFmtId="0" fontId="44" fillId="15" borderId="6" xfId="1" applyFont="1" applyFill="1" applyBorder="1" applyAlignment="1">
      <alignment horizontal="center" vertical="center" wrapText="1"/>
    </xf>
    <xf numFmtId="0" fontId="46" fillId="15" borderId="6" xfId="1" applyFill="1" applyBorder="1" applyAlignment="1">
      <alignment horizontal="center" vertical="center" wrapText="1"/>
    </xf>
    <xf numFmtId="49" fontId="46" fillId="15" borderId="0" xfId="1" applyNumberFormat="1" applyFill="1" applyAlignment="1">
      <alignment horizontal="center" vertical="center" wrapText="1"/>
    </xf>
    <xf numFmtId="0" fontId="46" fillId="13" borderId="0" xfId="1" applyFill="1" applyAlignment="1">
      <alignment horizontal="center" vertical="center" wrapText="1"/>
    </xf>
    <xf numFmtId="0" fontId="46" fillId="13" borderId="6" xfId="1" applyFill="1" applyBorder="1" applyAlignment="1">
      <alignment horizontal="center" vertical="center" wrapText="1"/>
    </xf>
    <xf numFmtId="49" fontId="46" fillId="13" borderId="0" xfId="1" applyNumberFormat="1" applyFill="1" applyAlignment="1">
      <alignment horizontal="center" vertical="center" wrapText="1"/>
    </xf>
    <xf numFmtId="0" fontId="42" fillId="16" borderId="0" xfId="1" applyFont="1" applyFill="1" applyAlignment="1">
      <alignment horizontal="center" vertical="center" wrapText="1"/>
    </xf>
    <xf numFmtId="0" fontId="46" fillId="16" borderId="0" xfId="1" applyFill="1" applyAlignment="1">
      <alignment horizontal="center" vertical="center" wrapText="1"/>
    </xf>
    <xf numFmtId="0" fontId="46" fillId="16" borderId="6" xfId="1" applyFill="1" applyBorder="1" applyAlignment="1">
      <alignment horizontal="center" vertical="center" wrapText="1"/>
    </xf>
    <xf numFmtId="49" fontId="46" fillId="16" borderId="0" xfId="1" applyNumberFormat="1" applyFill="1" applyAlignment="1">
      <alignment horizontal="center" vertical="center" wrapText="1"/>
    </xf>
    <xf numFmtId="0" fontId="46" fillId="17" borderId="0" xfId="1" applyFill="1" applyAlignment="1">
      <alignment horizontal="center" vertical="center" wrapText="1"/>
    </xf>
    <xf numFmtId="0" fontId="46" fillId="17" borderId="6" xfId="1" applyFill="1" applyBorder="1" applyAlignment="1">
      <alignment horizontal="center" vertical="center" wrapText="1"/>
    </xf>
    <xf numFmtId="49" fontId="46" fillId="17" borderId="0" xfId="1" applyNumberFormat="1" applyFill="1" applyAlignment="1">
      <alignment horizontal="center" vertical="center" wrapText="1"/>
    </xf>
    <xf numFmtId="0" fontId="44" fillId="17" borderId="0" xfId="1" applyFont="1" applyFill="1" applyAlignment="1">
      <alignment horizontal="center" vertical="center" wrapText="1"/>
    </xf>
    <xf numFmtId="0" fontId="43" fillId="17" borderId="0" xfId="1" applyFont="1" applyFill="1" applyAlignment="1">
      <alignment horizontal="center" vertical="center" wrapText="1"/>
    </xf>
    <xf numFmtId="0" fontId="46" fillId="18" borderId="0" xfId="1" applyFill="1" applyAlignment="1">
      <alignment horizontal="center" vertical="center" wrapText="1"/>
    </xf>
    <xf numFmtId="0" fontId="44" fillId="18" borderId="0" xfId="1" applyFont="1" applyFill="1" applyAlignment="1">
      <alignment horizontal="center" vertical="center" wrapText="1"/>
    </xf>
    <xf numFmtId="0" fontId="46" fillId="18" borderId="6" xfId="1" applyFill="1" applyBorder="1" applyAlignment="1">
      <alignment horizontal="center" vertical="center" wrapText="1"/>
    </xf>
    <xf numFmtId="49" fontId="46" fillId="18" borderId="0" xfId="1" applyNumberFormat="1" applyFill="1" applyAlignment="1">
      <alignment horizontal="center" vertical="center" wrapText="1"/>
    </xf>
    <xf numFmtId="0" fontId="46" fillId="9" borderId="0" xfId="1" applyFill="1" applyAlignment="1">
      <alignment horizontal="center" vertical="center" wrapText="1"/>
    </xf>
    <xf numFmtId="0" fontId="46" fillId="9" borderId="6" xfId="1" applyFill="1" applyBorder="1" applyAlignment="1">
      <alignment horizontal="center" vertical="center" wrapText="1"/>
    </xf>
    <xf numFmtId="49" fontId="46" fillId="9" borderId="0" xfId="1" applyNumberFormat="1" applyFill="1" applyAlignment="1">
      <alignment horizontal="center" vertical="center" wrapText="1"/>
    </xf>
    <xf numFmtId="0" fontId="42" fillId="4" borderId="0" xfId="1" applyFont="1" applyFill="1" applyAlignment="1">
      <alignment horizontal="center" vertical="center" wrapText="1"/>
    </xf>
    <xf numFmtId="0" fontId="44" fillId="19" borderId="0" xfId="1" applyFont="1" applyFill="1" applyAlignment="1">
      <alignment horizontal="center" vertical="center" wrapText="1"/>
    </xf>
    <xf numFmtId="0" fontId="46" fillId="19" borderId="0" xfId="1" applyFill="1" applyAlignment="1">
      <alignment horizontal="center" vertical="center" wrapText="1"/>
    </xf>
    <xf numFmtId="0" fontId="44" fillId="19" borderId="6" xfId="1" applyFont="1" applyFill="1" applyBorder="1" applyAlignment="1">
      <alignment horizontal="center" vertical="center" wrapText="1"/>
    </xf>
    <xf numFmtId="0" fontId="46" fillId="19" borderId="6" xfId="1" applyFill="1" applyBorder="1" applyAlignment="1">
      <alignment horizontal="center" vertical="center" wrapText="1"/>
    </xf>
    <xf numFmtId="49" fontId="46" fillId="19" borderId="0" xfId="1" applyNumberFormat="1" applyFill="1" applyAlignment="1">
      <alignment horizontal="center" vertical="center" wrapText="1"/>
    </xf>
    <xf numFmtId="0" fontId="44" fillId="20" borderId="0" xfId="1" applyFont="1" applyFill="1" applyAlignment="1">
      <alignment horizontal="center" vertical="center" wrapText="1"/>
    </xf>
    <xf numFmtId="0" fontId="46" fillId="20" borderId="0" xfId="1" applyFill="1" applyAlignment="1">
      <alignment horizontal="center" vertical="center" wrapText="1"/>
    </xf>
    <xf numFmtId="0" fontId="44" fillId="20" borderId="6" xfId="1" applyFont="1" applyFill="1" applyBorder="1" applyAlignment="1">
      <alignment horizontal="center" vertical="center" wrapText="1"/>
    </xf>
    <xf numFmtId="0" fontId="46" fillId="20" borderId="6" xfId="1" applyFill="1" applyBorder="1" applyAlignment="1">
      <alignment horizontal="center" vertical="center" wrapText="1"/>
    </xf>
    <xf numFmtId="49" fontId="46" fillId="20" borderId="0" xfId="1" applyNumberFormat="1" applyFill="1" applyAlignment="1">
      <alignment horizontal="center" vertical="center" wrapText="1"/>
    </xf>
    <xf numFmtId="0" fontId="45" fillId="20" borderId="6" xfId="1" applyFont="1" applyFill="1" applyBorder="1" applyAlignment="1">
      <alignment horizontal="center" vertical="center" wrapText="1"/>
    </xf>
    <xf numFmtId="0" fontId="45" fillId="20" borderId="0" xfId="1" applyFont="1" applyFill="1" applyAlignment="1">
      <alignment horizontal="center" vertical="center" wrapText="1"/>
    </xf>
    <xf numFmtId="0" fontId="43" fillId="26" borderId="0" xfId="1" applyFont="1" applyFill="1" applyAlignment="1">
      <alignment horizontal="center" vertical="center" wrapText="1"/>
    </xf>
    <xf numFmtId="0" fontId="46" fillId="26" borderId="0" xfId="1" applyFill="1" applyAlignment="1">
      <alignment horizontal="center" vertical="center" wrapText="1"/>
    </xf>
    <xf numFmtId="0" fontId="46" fillId="26" borderId="6" xfId="1" applyFill="1" applyBorder="1" applyAlignment="1">
      <alignment horizontal="center" vertical="center" wrapText="1"/>
    </xf>
    <xf numFmtId="49" fontId="46" fillId="26" borderId="0" xfId="1" applyNumberFormat="1" applyFill="1" applyAlignment="1">
      <alignment horizontal="center" vertical="center" wrapText="1"/>
    </xf>
    <xf numFmtId="0" fontId="43" fillId="21" borderId="0" xfId="1" applyFont="1" applyFill="1" applyAlignment="1">
      <alignment horizontal="center" vertical="center" wrapText="1"/>
    </xf>
    <xf numFmtId="0" fontId="46" fillId="21" borderId="0" xfId="1" applyFill="1" applyAlignment="1">
      <alignment horizontal="center" vertical="center" wrapText="1"/>
    </xf>
    <xf numFmtId="0" fontId="45" fillId="21" borderId="6" xfId="1" applyFont="1" applyFill="1" applyBorder="1" applyAlignment="1">
      <alignment horizontal="center" vertical="center" wrapText="1"/>
    </xf>
    <xf numFmtId="0" fontId="45" fillId="21" borderId="0" xfId="1" applyFont="1" applyFill="1" applyAlignment="1">
      <alignment horizontal="center" vertical="center" wrapText="1"/>
    </xf>
    <xf numFmtId="0" fontId="46" fillId="21" borderId="6" xfId="1" applyFill="1" applyBorder="1" applyAlignment="1">
      <alignment horizontal="center" vertical="center" wrapText="1"/>
    </xf>
    <xf numFmtId="49" fontId="46" fillId="21" borderId="0" xfId="1" applyNumberFormat="1" applyFill="1" applyAlignment="1">
      <alignment horizontal="center" vertical="center" wrapText="1"/>
    </xf>
    <xf numFmtId="0" fontId="46" fillId="22" borderId="0" xfId="1" applyFill="1" applyAlignment="1">
      <alignment horizontal="center" vertical="center" wrapText="1"/>
    </xf>
    <xf numFmtId="0" fontId="43" fillId="22" borderId="0" xfId="1" applyFont="1" applyFill="1" applyAlignment="1">
      <alignment horizontal="center" vertical="center" wrapText="1"/>
    </xf>
    <xf numFmtId="0" fontId="46" fillId="22" borderId="6" xfId="1" applyFill="1" applyBorder="1" applyAlignment="1">
      <alignment horizontal="center" vertical="center" wrapText="1"/>
    </xf>
    <xf numFmtId="49" fontId="46" fillId="22" borderId="0" xfId="1" applyNumberFormat="1" applyFill="1" applyAlignment="1">
      <alignment horizontal="center" vertical="center" wrapText="1"/>
    </xf>
    <xf numFmtId="0" fontId="43" fillId="16" borderId="0" xfId="1" applyFont="1" applyFill="1" applyAlignment="1">
      <alignment horizontal="center" vertical="center" wrapText="1"/>
    </xf>
    <xf numFmtId="0" fontId="43" fillId="16" borderId="6" xfId="1" applyFont="1" applyFill="1" applyBorder="1" applyAlignment="1">
      <alignment horizontal="center" vertical="center" wrapText="1"/>
    </xf>
    <xf numFmtId="0" fontId="46" fillId="24" borderId="0" xfId="1" applyFill="1" applyAlignment="1">
      <alignment horizontal="center" vertical="center" wrapText="1"/>
    </xf>
    <xf numFmtId="0" fontId="43" fillId="24" borderId="0" xfId="1" applyFont="1" applyFill="1" applyAlignment="1">
      <alignment horizontal="center" vertical="center" wrapText="1"/>
    </xf>
    <xf numFmtId="0" fontId="46" fillId="24" borderId="6" xfId="1" applyFill="1" applyBorder="1" applyAlignment="1">
      <alignment horizontal="center" vertical="center" wrapText="1"/>
    </xf>
    <xf numFmtId="49" fontId="46" fillId="24" borderId="0" xfId="1" applyNumberFormat="1" applyFill="1" applyAlignment="1">
      <alignment horizontal="center" vertical="center" wrapText="1"/>
    </xf>
    <xf numFmtId="0" fontId="46" fillId="23" borderId="0" xfId="1" applyFill="1" applyAlignment="1">
      <alignment horizontal="center" vertical="center" wrapText="1"/>
    </xf>
    <xf numFmtId="49" fontId="46" fillId="23" borderId="0" xfId="1" applyNumberFormat="1" applyFill="1" applyAlignment="1">
      <alignment horizontal="center" vertical="center" wrapText="1"/>
    </xf>
    <xf numFmtId="0" fontId="42" fillId="15" borderId="0" xfId="1" applyFont="1" applyFill="1" applyAlignment="1">
      <alignment horizontal="center" vertical="center" wrapText="1"/>
    </xf>
    <xf numFmtId="0" fontId="46" fillId="2" borderId="0" xfId="1" applyFill="1" applyAlignment="1">
      <alignment horizontal="center" vertical="center" wrapText="1"/>
    </xf>
    <xf numFmtId="0" fontId="43" fillId="2" borderId="0" xfId="1" applyFont="1" applyFill="1" applyAlignment="1">
      <alignment horizontal="center" vertical="center" wrapText="1"/>
    </xf>
    <xf numFmtId="0" fontId="46" fillId="2" borderId="6" xfId="1" applyFill="1" applyBorder="1" applyAlignment="1">
      <alignment horizontal="center" vertical="center" wrapText="1"/>
    </xf>
    <xf numFmtId="49" fontId="46" fillId="2" borderId="0" xfId="1" applyNumberFormat="1" applyFill="1" applyAlignment="1">
      <alignment horizontal="center" vertical="center" wrapText="1"/>
    </xf>
    <xf numFmtId="0" fontId="43" fillId="25" borderId="0" xfId="1" applyFont="1" applyFill="1" applyAlignment="1">
      <alignment horizontal="center" vertical="center" wrapText="1"/>
    </xf>
    <xf numFmtId="0" fontId="46" fillId="25" borderId="0" xfId="1" applyFill="1" applyAlignment="1">
      <alignment horizontal="center" vertical="center" wrapText="1"/>
    </xf>
    <xf numFmtId="0" fontId="46" fillId="25" borderId="6" xfId="1" applyFill="1" applyBorder="1" applyAlignment="1">
      <alignment horizontal="center" vertical="center" wrapText="1"/>
    </xf>
    <xf numFmtId="49" fontId="46" fillId="25" borderId="0" xfId="1" applyNumberFormat="1" applyFill="1" applyAlignment="1">
      <alignment horizontal="center" vertical="center" wrapText="1"/>
    </xf>
    <xf numFmtId="0" fontId="42" fillId="29" borderId="0" xfId="1" applyFont="1" applyFill="1" applyAlignment="1">
      <alignment horizontal="center" vertical="center" wrapText="1"/>
    </xf>
    <xf numFmtId="0" fontId="43" fillId="29" borderId="0" xfId="1" applyFont="1" applyFill="1" applyAlignment="1">
      <alignment horizontal="center" vertical="center" wrapText="1"/>
    </xf>
    <xf numFmtId="0" fontId="46" fillId="29" borderId="0" xfId="1" applyFill="1" applyAlignment="1">
      <alignment horizontal="center" vertical="center" wrapText="1"/>
    </xf>
    <xf numFmtId="0" fontId="42" fillId="29" borderId="6" xfId="1" applyFont="1" applyFill="1" applyBorder="1" applyAlignment="1">
      <alignment horizontal="center" vertical="center" wrapText="1"/>
    </xf>
    <xf numFmtId="0" fontId="46" fillId="29" borderId="6" xfId="1" applyFill="1" applyBorder="1" applyAlignment="1">
      <alignment horizontal="center" vertical="center" wrapText="1"/>
    </xf>
    <xf numFmtId="49" fontId="46" fillId="29" borderId="0" xfId="1" applyNumberFormat="1" applyFill="1" applyAlignment="1">
      <alignment horizontal="center" vertical="center" wrapText="1"/>
    </xf>
    <xf numFmtId="0" fontId="42" fillId="14" borderId="0" xfId="1" applyFont="1" applyFill="1" applyAlignment="1">
      <alignment horizontal="center" vertical="center" wrapText="1"/>
    </xf>
    <xf numFmtId="0" fontId="46" fillId="28" borderId="0" xfId="1" applyFill="1" applyAlignment="1">
      <alignment horizontal="center" vertical="center" wrapText="1"/>
    </xf>
    <xf numFmtId="0" fontId="42" fillId="28" borderId="0" xfId="1" applyFont="1" applyFill="1" applyAlignment="1">
      <alignment horizontal="center" vertical="center" wrapText="1"/>
    </xf>
    <xf numFmtId="0" fontId="46" fillId="28" borderId="6" xfId="1" applyFill="1" applyBorder="1" applyAlignment="1">
      <alignment horizontal="center" vertical="center" wrapText="1"/>
    </xf>
    <xf numFmtId="49" fontId="46" fillId="28" borderId="0" xfId="1" applyNumberFormat="1" applyFill="1" applyAlignment="1">
      <alignment horizontal="center" vertical="center" wrapText="1"/>
    </xf>
    <xf numFmtId="0" fontId="42" fillId="30" borderId="0" xfId="1" applyFont="1" applyFill="1" applyAlignment="1">
      <alignment horizontal="center" vertical="center" wrapText="1"/>
    </xf>
    <xf numFmtId="0" fontId="46" fillId="30" borderId="0" xfId="1" applyFill="1" applyAlignment="1">
      <alignment horizontal="center" vertical="center" wrapText="1"/>
    </xf>
    <xf numFmtId="0" fontId="42" fillId="30" borderId="6" xfId="1" applyFont="1" applyFill="1" applyBorder="1" applyAlignment="1">
      <alignment horizontal="center" vertical="center" wrapText="1"/>
    </xf>
    <xf numFmtId="49" fontId="46" fillId="30" borderId="0" xfId="1" applyNumberFormat="1" applyFill="1" applyAlignment="1">
      <alignment horizontal="center" vertical="center" wrapText="1"/>
    </xf>
    <xf numFmtId="0" fontId="46" fillId="30" borderId="6" xfId="1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46" fillId="27" borderId="0" xfId="1" applyFill="1" applyAlignment="1">
      <alignment horizontal="center" vertical="center" wrapText="1"/>
    </xf>
    <xf numFmtId="0" fontId="42" fillId="27" borderId="0" xfId="1" applyFont="1" applyFill="1" applyAlignment="1">
      <alignment horizontal="center" vertical="center" wrapText="1"/>
    </xf>
    <xf numFmtId="0" fontId="42" fillId="27" borderId="6" xfId="1" applyFont="1" applyFill="1" applyBorder="1" applyAlignment="1">
      <alignment horizontal="center" vertical="center" wrapText="1"/>
    </xf>
    <xf numFmtId="0" fontId="46" fillId="27" borderId="6" xfId="1" applyFill="1" applyBorder="1" applyAlignment="1">
      <alignment horizontal="center" vertical="center" wrapText="1"/>
    </xf>
    <xf numFmtId="49" fontId="46" fillId="27" borderId="0" xfId="1" applyNumberForma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46" fillId="0" borderId="6" xfId="1" applyBorder="1" applyAlignment="1">
      <alignment horizontal="center" vertical="center" wrapText="1"/>
    </xf>
    <xf numFmtId="0" fontId="45" fillId="4" borderId="0" xfId="1" applyFont="1" applyFill="1" applyBorder="1" applyAlignment="1">
      <alignment horizontal="center" vertical="center" wrapText="1"/>
    </xf>
    <xf numFmtId="0" fontId="42" fillId="12" borderId="0" xfId="1" applyFont="1" applyFill="1" applyAlignment="1">
      <alignment horizontal="center" vertical="center" wrapText="1"/>
    </xf>
    <xf numFmtId="0" fontId="42" fillId="17" borderId="0" xfId="1" applyFont="1" applyFill="1" applyAlignment="1">
      <alignment horizontal="center" vertical="center" wrapText="1"/>
    </xf>
    <xf numFmtId="0" fontId="42" fillId="4" borderId="6" xfId="1" applyFont="1" applyFill="1" applyBorder="1" applyAlignment="1">
      <alignment horizontal="center" vertical="center" wrapText="1"/>
    </xf>
    <xf numFmtId="0" fontId="42" fillId="19" borderId="0" xfId="1" applyFont="1" applyFill="1" applyAlignment="1">
      <alignment horizontal="center" vertical="center" wrapText="1"/>
    </xf>
    <xf numFmtId="0" fontId="42" fillId="26" borderId="0" xfId="1" applyFont="1" applyFill="1" applyAlignment="1">
      <alignment horizontal="center" vertical="center" wrapText="1"/>
    </xf>
    <xf numFmtId="0" fontId="42" fillId="10" borderId="0" xfId="1" applyFont="1" applyFill="1" applyAlignment="1">
      <alignment horizontal="center" vertical="center" wrapText="1"/>
    </xf>
    <xf numFmtId="0" fontId="42" fillId="25" borderId="0" xfId="1" applyFont="1" applyFill="1" applyAlignment="1">
      <alignment horizontal="center" vertical="center" wrapText="1"/>
    </xf>
    <xf numFmtId="0" fontId="43" fillId="25" borderId="0" xfId="1" applyFont="1" applyFill="1" applyBorder="1" applyAlignment="1">
      <alignment horizontal="center" vertical="center" wrapText="1"/>
    </xf>
    <xf numFmtId="0" fontId="42" fillId="20" borderId="0" xfId="1" applyFont="1" applyFill="1" applyAlignment="1">
      <alignment horizontal="center" vertical="center" wrapText="1"/>
    </xf>
    <xf numFmtId="0" fontId="46" fillId="7" borderId="0" xfId="1" applyFill="1" applyBorder="1" applyAlignment="1">
      <alignment horizontal="center" vertical="center" wrapText="1"/>
    </xf>
    <xf numFmtId="0" fontId="45" fillId="7" borderId="0" xfId="1" applyFont="1" applyFill="1" applyBorder="1" applyAlignment="1">
      <alignment horizontal="center" vertical="center" wrapText="1"/>
    </xf>
    <xf numFmtId="0" fontId="46" fillId="8" borderId="0" xfId="1" applyFill="1" applyBorder="1" applyAlignment="1">
      <alignment horizontal="center" vertical="center" wrapText="1"/>
    </xf>
    <xf numFmtId="0" fontId="44" fillId="11" borderId="0" xfId="1" applyFont="1" applyFill="1" applyBorder="1" applyAlignment="1">
      <alignment horizontal="center" vertical="center" wrapText="1"/>
    </xf>
    <xf numFmtId="0" fontId="44" fillId="12" borderId="0" xfId="1" applyFont="1" applyFill="1" applyBorder="1" applyAlignment="1">
      <alignment horizontal="center" vertical="center" wrapText="1"/>
    </xf>
    <xf numFmtId="0" fontId="44" fillId="14" borderId="0" xfId="1" applyFont="1" applyFill="1" applyBorder="1" applyAlignment="1">
      <alignment horizontal="center" vertical="center" wrapText="1"/>
    </xf>
    <xf numFmtId="0" fontId="44" fillId="10" borderId="0" xfId="1" applyFont="1" applyFill="1" applyBorder="1" applyAlignment="1">
      <alignment horizontal="center" vertical="center" wrapText="1"/>
    </xf>
    <xf numFmtId="0" fontId="44" fillId="15" borderId="0" xfId="1" applyFont="1" applyFill="1" applyBorder="1" applyAlignment="1">
      <alignment horizontal="center" vertical="center" wrapText="1"/>
    </xf>
    <xf numFmtId="0" fontId="46" fillId="16" borderId="0" xfId="1" applyFill="1" applyBorder="1" applyAlignment="1">
      <alignment horizontal="center" vertical="center" wrapText="1"/>
    </xf>
    <xf numFmtId="0" fontId="42" fillId="17" borderId="0" xfId="1" applyFont="1" applyFill="1" applyBorder="1" applyAlignment="1">
      <alignment horizontal="center" vertical="center" wrapText="1"/>
    </xf>
    <xf numFmtId="0" fontId="44" fillId="4" borderId="0" xfId="1" applyFont="1" applyFill="1" applyBorder="1" applyAlignment="1">
      <alignment horizontal="center" vertical="center" wrapText="1"/>
    </xf>
    <xf numFmtId="0" fontId="42" fillId="4" borderId="0" xfId="1" applyFont="1" applyFill="1" applyBorder="1" applyAlignment="1">
      <alignment horizontal="center" vertical="center" wrapText="1"/>
    </xf>
    <xf numFmtId="0" fontId="44" fillId="19" borderId="0" xfId="1" applyFont="1" applyFill="1" applyBorder="1" applyAlignment="1">
      <alignment horizontal="center" vertical="center" wrapText="1"/>
    </xf>
    <xf numFmtId="0" fontId="46" fillId="19" borderId="0" xfId="1" applyFill="1" applyBorder="1" applyAlignment="1">
      <alignment horizontal="center" vertical="center" wrapText="1"/>
    </xf>
    <xf numFmtId="0" fontId="44" fillId="20" borderId="0" xfId="1" applyFont="1" applyFill="1" applyBorder="1" applyAlignment="1">
      <alignment horizontal="center" vertical="center" wrapText="1"/>
    </xf>
    <xf numFmtId="0" fontId="43" fillId="26" borderId="0" xfId="1" applyFont="1" applyFill="1" applyBorder="1" applyAlignment="1">
      <alignment horizontal="center" vertical="center" wrapText="1"/>
    </xf>
    <xf numFmtId="0" fontId="46" fillId="26" borderId="0" xfId="1" applyFill="1" applyBorder="1" applyAlignment="1">
      <alignment horizontal="center" vertical="center" wrapText="1"/>
    </xf>
    <xf numFmtId="0" fontId="46" fillId="22" borderId="0" xfId="1" applyFill="1" applyBorder="1" applyAlignment="1">
      <alignment horizontal="center" vertical="center" wrapText="1"/>
    </xf>
    <xf numFmtId="0" fontId="43" fillId="16" borderId="0" xfId="1" applyFont="1" applyFill="1" applyBorder="1" applyAlignment="1">
      <alignment horizontal="center" vertical="center" wrapText="1"/>
    </xf>
    <xf numFmtId="0" fontId="43" fillId="10" borderId="0" xfId="1" applyFont="1" applyFill="1" applyBorder="1" applyAlignment="1">
      <alignment horizontal="center" vertical="center" wrapText="1"/>
    </xf>
    <xf numFmtId="0" fontId="42" fillId="29" borderId="0" xfId="1" applyFont="1" applyFill="1" applyBorder="1" applyAlignment="1">
      <alignment horizontal="center" vertical="center" wrapText="1"/>
    </xf>
    <xf numFmtId="0" fontId="46" fillId="14" borderId="0" xfId="1" applyFill="1" applyBorder="1" applyAlignment="1">
      <alignment horizontal="center" vertical="center" wrapText="1"/>
    </xf>
    <xf numFmtId="0" fontId="46" fillId="28" borderId="0" xfId="1" applyFill="1" applyBorder="1" applyAlignment="1">
      <alignment horizontal="center" vertical="center" wrapText="1"/>
    </xf>
    <xf numFmtId="0" fontId="42" fillId="30" borderId="0" xfId="1" applyFont="1" applyFill="1" applyBorder="1" applyAlignment="1">
      <alignment horizontal="center" vertical="center" wrapText="1"/>
    </xf>
    <xf numFmtId="0" fontId="46" fillId="10" borderId="0" xfId="1" applyFill="1" applyBorder="1" applyAlignment="1">
      <alignment horizontal="center" vertical="center" wrapText="1"/>
    </xf>
    <xf numFmtId="0" fontId="42" fillId="27" borderId="0" xfId="1" applyFont="1" applyFill="1" applyBorder="1" applyAlignment="1">
      <alignment horizontal="center" vertical="center" wrapText="1"/>
    </xf>
    <xf numFmtId="0" fontId="46" fillId="0" borderId="0" xfId="1" applyBorder="1" applyAlignment="1">
      <alignment horizontal="center" vertical="center" wrapText="1"/>
    </xf>
    <xf numFmtId="0" fontId="42" fillId="11" borderId="10" xfId="1" applyFont="1" applyFill="1" applyBorder="1" applyAlignment="1">
      <alignment horizontal="center" vertical="center" wrapText="1"/>
    </xf>
    <xf numFmtId="0" fontId="42" fillId="12" borderId="10" xfId="1" applyFont="1" applyFill="1" applyBorder="1" applyAlignment="1">
      <alignment horizontal="center" vertical="center" wrapText="1"/>
    </xf>
    <xf numFmtId="0" fontId="42" fillId="14" borderId="10" xfId="1" applyFont="1" applyFill="1" applyBorder="1" applyAlignment="1">
      <alignment horizontal="center" vertical="center" wrapText="1"/>
    </xf>
    <xf numFmtId="0" fontId="46" fillId="9" borderId="10" xfId="1" applyFill="1" applyBorder="1" applyAlignment="1">
      <alignment horizontal="center" vertical="center" wrapText="1"/>
    </xf>
    <xf numFmtId="0" fontId="42" fillId="4" borderId="10" xfId="1" applyFont="1" applyFill="1" applyBorder="1" applyAlignment="1">
      <alignment horizontal="center" vertical="center" wrapText="1"/>
    </xf>
    <xf numFmtId="0" fontId="46" fillId="20" borderId="10" xfId="1" applyFill="1" applyBorder="1" applyAlignment="1">
      <alignment horizontal="center" vertical="center" wrapText="1"/>
    </xf>
    <xf numFmtId="0" fontId="42" fillId="26" borderId="10" xfId="1" applyFont="1" applyFill="1" applyBorder="1" applyAlignment="1">
      <alignment horizontal="center" vertical="center" wrapText="1"/>
    </xf>
    <xf numFmtId="0" fontId="42" fillId="21" borderId="10" xfId="1" applyFont="1" applyFill="1" applyBorder="1" applyAlignment="1">
      <alignment horizontal="center" vertical="center" wrapText="1"/>
    </xf>
    <xf numFmtId="16" fontId="42" fillId="21" borderId="10" xfId="1" applyNumberFormat="1" applyFont="1" applyFill="1" applyBorder="1" applyAlignment="1">
      <alignment horizontal="center" vertical="center" wrapText="1"/>
    </xf>
    <xf numFmtId="0" fontId="46" fillId="22" borderId="10" xfId="1" applyFill="1" applyBorder="1" applyAlignment="1">
      <alignment horizontal="center" vertical="center" wrapText="1"/>
    </xf>
    <xf numFmtId="0" fontId="42" fillId="16" borderId="10" xfId="1" applyFont="1" applyFill="1" applyBorder="1" applyAlignment="1">
      <alignment horizontal="center" vertical="center" wrapText="1"/>
    </xf>
    <xf numFmtId="0" fontId="46" fillId="24" borderId="10" xfId="1" applyFill="1" applyBorder="1" applyAlignment="1">
      <alignment horizontal="center" vertical="center" wrapText="1"/>
    </xf>
    <xf numFmtId="0" fontId="42" fillId="25" borderId="10" xfId="1" applyFont="1" applyFill="1" applyBorder="1" applyAlignment="1">
      <alignment horizontal="center" vertical="center" wrapText="1"/>
    </xf>
    <xf numFmtId="0" fontId="42" fillId="29" borderId="10" xfId="1" applyFont="1" applyFill="1" applyBorder="1" applyAlignment="1">
      <alignment horizontal="center" vertical="center" wrapText="1"/>
    </xf>
    <xf numFmtId="0" fontId="42" fillId="30" borderId="10" xfId="1" applyFont="1" applyFill="1" applyBorder="1" applyAlignment="1">
      <alignment horizontal="center" vertical="center" wrapText="1"/>
    </xf>
    <xf numFmtId="0" fontId="42" fillId="27" borderId="10" xfId="1" applyFont="1" applyFill="1" applyBorder="1" applyAlignment="1">
      <alignment horizontal="center" vertical="center" wrapText="1"/>
    </xf>
    <xf numFmtId="0" fontId="46" fillId="0" borderId="10" xfId="1" applyBorder="1" applyAlignment="1">
      <alignment horizontal="center" vertical="center" wrapText="1"/>
    </xf>
    <xf numFmtId="0" fontId="42" fillId="7" borderId="10" xfId="1" applyFont="1" applyFill="1" applyBorder="1" applyAlignment="1">
      <alignment horizontal="center" vertical="center" wrapText="1"/>
    </xf>
    <xf numFmtId="0" fontId="42" fillId="8" borderId="10" xfId="1" applyFont="1" applyFill="1" applyBorder="1" applyAlignment="1">
      <alignment horizontal="center" vertical="center" wrapText="1"/>
    </xf>
    <xf numFmtId="0" fontId="42" fillId="10" borderId="10" xfId="1" applyFont="1" applyFill="1" applyBorder="1" applyAlignment="1">
      <alignment horizontal="center" vertical="center" wrapText="1"/>
    </xf>
    <xf numFmtId="0" fontId="42" fillId="15" borderId="10" xfId="1" applyFont="1" applyFill="1" applyBorder="1" applyAlignment="1">
      <alignment horizontal="center" vertical="center" wrapText="1"/>
    </xf>
    <xf numFmtId="0" fontId="42" fillId="19" borderId="10" xfId="1" applyFont="1" applyFill="1" applyBorder="1" applyAlignment="1">
      <alignment horizontal="center" vertical="center" wrapText="1"/>
    </xf>
    <xf numFmtId="0" fontId="42" fillId="20" borderId="10" xfId="1" applyFont="1" applyFill="1" applyBorder="1" applyAlignment="1">
      <alignment horizontal="center" vertical="center" wrapText="1"/>
    </xf>
    <xf numFmtId="16" fontId="42" fillId="4" borderId="0" xfId="1" applyNumberFormat="1" applyFont="1" applyFill="1" applyBorder="1" applyAlignment="1">
      <alignment horizontal="center" vertical="center" wrapText="1"/>
    </xf>
    <xf numFmtId="0" fontId="42" fillId="21" borderId="0" xfId="1" applyFont="1" applyFill="1" applyAlignment="1">
      <alignment horizontal="center" vertical="center" wrapText="1"/>
    </xf>
    <xf numFmtId="0" fontId="41" fillId="18" borderId="0" xfId="1" applyFont="1" applyFill="1" applyAlignment="1">
      <alignment horizontal="center" vertical="center" wrapText="1"/>
    </xf>
    <xf numFmtId="0" fontId="41" fillId="18" borderId="0" xfId="1" applyFont="1" applyFill="1" applyBorder="1" applyAlignment="1">
      <alignment horizontal="center" vertical="center" wrapText="1"/>
    </xf>
    <xf numFmtId="0" fontId="41" fillId="18" borderId="10" xfId="1" applyFont="1" applyFill="1" applyBorder="1" applyAlignment="1">
      <alignment horizontal="center" vertical="center" wrapText="1"/>
    </xf>
    <xf numFmtId="0" fontId="41" fillId="18" borderId="6" xfId="1" applyFont="1" applyFill="1" applyBorder="1" applyAlignment="1">
      <alignment horizontal="center" vertical="center" wrapText="1"/>
    </xf>
    <xf numFmtId="0" fontId="41" fillId="25" borderId="0" xfId="1" applyFont="1" applyFill="1" applyAlignment="1">
      <alignment horizontal="center" vertical="center" wrapText="1"/>
    </xf>
    <xf numFmtId="0" fontId="40" fillId="27" borderId="0" xfId="1" applyFont="1" applyFill="1" applyAlignment="1">
      <alignment horizontal="center" vertical="center" wrapText="1"/>
    </xf>
    <xf numFmtId="0" fontId="40" fillId="20" borderId="0" xfId="1" applyFont="1" applyFill="1" applyAlignment="1">
      <alignment horizontal="center" vertical="center" wrapText="1"/>
    </xf>
    <xf numFmtId="0" fontId="40" fillId="20" borderId="6" xfId="1" applyFont="1" applyFill="1" applyBorder="1" applyAlignment="1">
      <alignment horizontal="center" vertical="center" wrapText="1"/>
    </xf>
    <xf numFmtId="0" fontId="40" fillId="20" borderId="10" xfId="1" applyFont="1" applyFill="1" applyBorder="1" applyAlignment="1">
      <alignment horizontal="center" vertical="center" wrapText="1"/>
    </xf>
    <xf numFmtId="0" fontId="40" fillId="20" borderId="0" xfId="1" applyFont="1" applyFill="1" applyBorder="1" applyAlignment="1">
      <alignment horizontal="center" vertical="center" wrapText="1"/>
    </xf>
    <xf numFmtId="0" fontId="40" fillId="11" borderId="0" xfId="1" applyFont="1" applyFill="1" applyAlignment="1">
      <alignment horizontal="center" vertical="center" wrapText="1"/>
    </xf>
    <xf numFmtId="0" fontId="40" fillId="26" borderId="0" xfId="1" applyFont="1" applyFill="1" applyAlignment="1">
      <alignment horizontal="center" vertical="center" wrapText="1"/>
    </xf>
    <xf numFmtId="0" fontId="40" fillId="16" borderId="0" xfId="1" applyFont="1" applyFill="1" applyAlignment="1">
      <alignment horizontal="center" vertical="center" wrapText="1"/>
    </xf>
    <xf numFmtId="0" fontId="40" fillId="10" borderId="0" xfId="1" applyFont="1" applyFill="1" applyAlignment="1">
      <alignment horizontal="center" vertical="center" wrapText="1"/>
    </xf>
    <xf numFmtId="0" fontId="40" fillId="10" borderId="10" xfId="1" applyFont="1" applyFill="1" applyBorder="1" applyAlignment="1">
      <alignment horizontal="center" vertical="center" wrapText="1"/>
    </xf>
    <xf numFmtId="0" fontId="40" fillId="18" borderId="0" xfId="1" applyFont="1" applyFill="1" applyAlignment="1">
      <alignment horizontal="center" vertical="center" wrapText="1"/>
    </xf>
    <xf numFmtId="0" fontId="40" fillId="29" borderId="0" xfId="1" applyFont="1" applyFill="1" applyAlignment="1">
      <alignment horizontal="center" vertical="center" wrapText="1"/>
    </xf>
    <xf numFmtId="0" fontId="40" fillId="8" borderId="0" xfId="1" applyFont="1" applyFill="1" applyAlignment="1">
      <alignment horizontal="center" vertical="center" wrapText="1"/>
    </xf>
    <xf numFmtId="0" fontId="39" fillId="24" borderId="0" xfId="1" applyFont="1" applyFill="1" applyAlignment="1">
      <alignment horizontal="center" vertical="center" wrapText="1"/>
    </xf>
    <xf numFmtId="0" fontId="39" fillId="24" borderId="6" xfId="1" applyFont="1" applyFill="1" applyBorder="1" applyAlignment="1">
      <alignment horizontal="center" vertical="center" wrapText="1"/>
    </xf>
    <xf numFmtId="0" fontId="39" fillId="24" borderId="0" xfId="1" applyFont="1" applyFill="1" applyBorder="1" applyAlignment="1">
      <alignment horizontal="center" vertical="center" wrapText="1"/>
    </xf>
    <xf numFmtId="0" fontId="39" fillId="24" borderId="10" xfId="1" applyFont="1" applyFill="1" applyBorder="1" applyAlignment="1">
      <alignment horizontal="center" vertical="center" wrapText="1"/>
    </xf>
    <xf numFmtId="0" fontId="39" fillId="22" borderId="0" xfId="1" applyFont="1" applyFill="1" applyAlignment="1">
      <alignment horizontal="center" vertical="center" wrapText="1"/>
    </xf>
    <xf numFmtId="0" fontId="39" fillId="22" borderId="6" xfId="1" applyFont="1" applyFill="1" applyBorder="1" applyAlignment="1">
      <alignment horizontal="center" vertical="center" wrapText="1"/>
    </xf>
    <xf numFmtId="0" fontId="39" fillId="22" borderId="10" xfId="1" applyFont="1" applyFill="1" applyBorder="1" applyAlignment="1">
      <alignment horizontal="center" vertical="center" wrapText="1"/>
    </xf>
    <xf numFmtId="0" fontId="39" fillId="21" borderId="0" xfId="1" applyFont="1" applyFill="1" applyAlignment="1">
      <alignment horizontal="center" vertical="center" wrapText="1"/>
    </xf>
    <xf numFmtId="0" fontId="43" fillId="21" borderId="6" xfId="1" applyFont="1" applyFill="1" applyBorder="1" applyAlignment="1">
      <alignment horizontal="center" vertical="center" wrapText="1"/>
    </xf>
    <xf numFmtId="0" fontId="38" fillId="10" borderId="0" xfId="1" applyFont="1" applyFill="1" applyAlignment="1">
      <alignment horizontal="center" vertical="center" wrapText="1"/>
    </xf>
    <xf numFmtId="0" fontId="38" fillId="26" borderId="0" xfId="1" applyFont="1" applyFill="1" applyAlignment="1">
      <alignment horizontal="center" vertical="center" wrapText="1"/>
    </xf>
    <xf numFmtId="0" fontId="38" fillId="27" borderId="6" xfId="1" applyFont="1" applyFill="1" applyBorder="1" applyAlignment="1">
      <alignment horizontal="center" vertical="center" wrapText="1"/>
    </xf>
    <xf numFmtId="0" fontId="38" fillId="27" borderId="0" xfId="1" applyFont="1" applyFill="1" applyAlignment="1">
      <alignment horizontal="center" vertical="center" wrapText="1"/>
    </xf>
    <xf numFmtId="0" fontId="38" fillId="15" borderId="6" xfId="1" applyFont="1" applyFill="1" applyBorder="1" applyAlignment="1">
      <alignment horizontal="center" vertical="center" wrapText="1"/>
    </xf>
    <xf numFmtId="0" fontId="38" fillId="15" borderId="0" xfId="1" applyFont="1" applyFill="1" applyAlignment="1">
      <alignment horizontal="center" vertical="center" wrapText="1"/>
    </xf>
    <xf numFmtId="0" fontId="38" fillId="24" borderId="0" xfId="1" applyFont="1" applyFill="1" applyAlignment="1">
      <alignment horizontal="center" vertical="center" wrapText="1"/>
    </xf>
    <xf numFmtId="0" fontId="38" fillId="24" borderId="6" xfId="1" applyFont="1" applyFill="1" applyBorder="1" applyAlignment="1">
      <alignment horizontal="center" vertical="center" wrapText="1"/>
    </xf>
    <xf numFmtId="0" fontId="38" fillId="16" borderId="6" xfId="1" applyFont="1" applyFill="1" applyBorder="1" applyAlignment="1">
      <alignment horizontal="center" vertical="center" wrapText="1"/>
    </xf>
    <xf numFmtId="0" fontId="38" fillId="16" borderId="0" xfId="1" applyFont="1" applyFill="1" applyAlignment="1">
      <alignment horizontal="center" vertical="center" wrapText="1"/>
    </xf>
    <xf numFmtId="0" fontId="38" fillId="27" borderId="0" xfId="1" applyFont="1" applyFill="1" applyBorder="1" applyAlignment="1">
      <alignment horizontal="center" vertical="center" wrapText="1"/>
    </xf>
    <xf numFmtId="0" fontId="38" fillId="27" borderId="10" xfId="1" applyFont="1" applyFill="1" applyBorder="1" applyAlignment="1">
      <alignment horizontal="center" vertical="center" wrapText="1"/>
    </xf>
    <xf numFmtId="0" fontId="37" fillId="27" borderId="0" xfId="1" applyFont="1" applyFill="1" applyAlignment="1">
      <alignment horizontal="center" vertical="center" wrapText="1"/>
    </xf>
    <xf numFmtId="0" fontId="37" fillId="18" borderId="0" xfId="1" applyFont="1" applyFill="1" applyAlignment="1">
      <alignment horizontal="center" vertical="center" wrapText="1"/>
    </xf>
    <xf numFmtId="0" fontId="36" fillId="29" borderId="0" xfId="1" applyFont="1" applyFill="1" applyAlignment="1">
      <alignment horizontal="center" vertical="center" wrapText="1"/>
    </xf>
    <xf numFmtId="0" fontId="36" fillId="27" borderId="0" xfId="1" applyFont="1" applyFill="1" applyAlignment="1">
      <alignment horizontal="center" vertical="center" wrapText="1"/>
    </xf>
    <xf numFmtId="0" fontId="36" fillId="27" borderId="6" xfId="1" applyFont="1" applyFill="1" applyBorder="1" applyAlignment="1">
      <alignment horizontal="center" vertical="center" wrapText="1"/>
    </xf>
    <xf numFmtId="0" fontId="36" fillId="27" borderId="0" xfId="1" applyFont="1" applyFill="1" applyBorder="1" applyAlignment="1">
      <alignment horizontal="center" vertical="center" wrapText="1"/>
    </xf>
    <xf numFmtId="0" fontId="36" fillId="27" borderId="10" xfId="1" applyFont="1" applyFill="1" applyBorder="1" applyAlignment="1">
      <alignment horizontal="center" vertical="center" wrapText="1"/>
    </xf>
    <xf numFmtId="0" fontId="36" fillId="15" borderId="0" xfId="1" applyFont="1" applyFill="1" applyAlignment="1">
      <alignment horizontal="center" vertical="center" wrapText="1"/>
    </xf>
    <xf numFmtId="0" fontId="36" fillId="11" borderId="0" xfId="1" applyFont="1" applyFill="1" applyAlignment="1">
      <alignment horizontal="center" vertical="center" wrapText="1"/>
    </xf>
    <xf numFmtId="0" fontId="36" fillId="17" borderId="0" xfId="1" applyFont="1" applyFill="1" applyAlignment="1">
      <alignment horizontal="center" vertical="center" wrapText="1"/>
    </xf>
    <xf numFmtId="0" fontId="36" fillId="2" borderId="0" xfId="1" applyFont="1" applyFill="1" applyAlignment="1">
      <alignment horizontal="center" vertical="center" wrapText="1"/>
    </xf>
    <xf numFmtId="0" fontId="36" fillId="2" borderId="6" xfId="1" applyFont="1" applyFill="1" applyBorder="1" applyAlignment="1">
      <alignment horizontal="center" vertical="center" wrapText="1"/>
    </xf>
    <xf numFmtId="0" fontId="36" fillId="18" borderId="0" xfId="1" applyFont="1" applyFill="1" applyBorder="1" applyAlignment="1">
      <alignment horizontal="center" vertical="center" wrapText="1"/>
    </xf>
    <xf numFmtId="0" fontId="36" fillId="2" borderId="0" xfId="1" applyFont="1" applyFill="1" applyBorder="1" applyAlignment="1">
      <alignment horizontal="center" vertical="center" wrapText="1"/>
    </xf>
    <xf numFmtId="0" fontId="36" fillId="2" borderId="10" xfId="1" applyFont="1" applyFill="1" applyBorder="1" applyAlignment="1">
      <alignment horizontal="center" vertical="center" wrapText="1"/>
    </xf>
    <xf numFmtId="0" fontId="36" fillId="32" borderId="0" xfId="1" applyFont="1" applyFill="1" applyAlignment="1">
      <alignment horizontal="center" vertical="center" wrapText="1"/>
    </xf>
    <xf numFmtId="0" fontId="46" fillId="32" borderId="0" xfId="1" applyFill="1" applyAlignment="1">
      <alignment horizontal="center" vertical="center" wrapText="1"/>
    </xf>
    <xf numFmtId="0" fontId="36" fillId="32" borderId="6" xfId="1" applyFont="1" applyFill="1" applyBorder="1" applyAlignment="1">
      <alignment horizontal="center" vertical="center" wrapText="1"/>
    </xf>
    <xf numFmtId="0" fontId="36" fillId="32" borderId="0" xfId="1" applyFont="1" applyFill="1" applyBorder="1" applyAlignment="1">
      <alignment horizontal="center" vertical="center" wrapText="1"/>
    </xf>
    <xf numFmtId="0" fontId="36" fillId="32" borderId="10" xfId="1" applyFont="1" applyFill="1" applyBorder="1" applyAlignment="1">
      <alignment horizontal="center" vertical="center" wrapText="1"/>
    </xf>
    <xf numFmtId="0" fontId="46" fillId="32" borderId="6" xfId="1" applyFill="1" applyBorder="1" applyAlignment="1">
      <alignment horizontal="center" vertical="center" wrapText="1"/>
    </xf>
    <xf numFmtId="49" fontId="46" fillId="32" borderId="0" xfId="1" applyNumberFormat="1" applyFill="1" applyAlignment="1">
      <alignment horizontal="center" vertical="center" wrapText="1"/>
    </xf>
    <xf numFmtId="0" fontId="35" fillId="11" borderId="0" xfId="1" applyFont="1" applyFill="1" applyAlignment="1">
      <alignment horizontal="center" vertical="center" wrapText="1"/>
    </xf>
    <xf numFmtId="0" fontId="35" fillId="27" borderId="0" xfId="1" applyFont="1" applyFill="1" applyAlignment="1">
      <alignment horizontal="center" vertical="center" wrapText="1"/>
    </xf>
    <xf numFmtId="0" fontId="35" fillId="16" borderId="0" xfId="1" applyFont="1" applyFill="1" applyAlignment="1">
      <alignment horizontal="center" vertical="center" wrapText="1"/>
    </xf>
    <xf numFmtId="0" fontId="35" fillId="16" borderId="0" xfId="1" applyFont="1" applyFill="1" applyBorder="1" applyAlignment="1">
      <alignment horizontal="center" vertical="center" wrapText="1"/>
    </xf>
    <xf numFmtId="0" fontId="35" fillId="16" borderId="10" xfId="1" applyFont="1" applyFill="1" applyBorder="1" applyAlignment="1">
      <alignment horizontal="center" vertical="center" wrapText="1"/>
    </xf>
    <xf numFmtId="0" fontId="35" fillId="16" borderId="6" xfId="1" applyFont="1" applyFill="1" applyBorder="1" applyAlignment="1">
      <alignment horizontal="center" vertical="center" wrapText="1"/>
    </xf>
    <xf numFmtId="0" fontId="35" fillId="18" borderId="0" xfId="1" applyFont="1" applyFill="1" applyAlignment="1">
      <alignment horizontal="center" vertical="center" wrapText="1"/>
    </xf>
    <xf numFmtId="0" fontId="35" fillId="4" borderId="0" xfId="1" applyFont="1" applyFill="1" applyAlignment="1">
      <alignment horizontal="center" vertical="center" wrapText="1"/>
    </xf>
    <xf numFmtId="0" fontId="35" fillId="9" borderId="0" xfId="1" applyFont="1" applyFill="1" applyAlignment="1">
      <alignment horizontal="center" vertical="center" wrapText="1"/>
    </xf>
    <xf numFmtId="0" fontId="35" fillId="9" borderId="10" xfId="1" applyFont="1" applyFill="1" applyBorder="1" applyAlignment="1">
      <alignment horizontal="center" vertical="center" wrapText="1"/>
    </xf>
    <xf numFmtId="0" fontId="35" fillId="9" borderId="0" xfId="1" applyFont="1" applyFill="1" applyBorder="1" applyAlignment="1">
      <alignment horizontal="center" vertical="center" wrapText="1"/>
    </xf>
    <xf numFmtId="0" fontId="35" fillId="10" borderId="0" xfId="1" applyFont="1" applyFill="1" applyAlignment="1">
      <alignment horizontal="center" vertical="center" wrapText="1"/>
    </xf>
    <xf numFmtId="0" fontId="35" fillId="15" borderId="0" xfId="1" applyFont="1" applyFill="1" applyAlignment="1">
      <alignment horizontal="center" vertical="center" wrapText="1"/>
    </xf>
    <xf numFmtId="0" fontId="35" fillId="15" borderId="6" xfId="1" applyFont="1" applyFill="1" applyBorder="1" applyAlignment="1">
      <alignment horizontal="center" vertical="center" wrapText="1"/>
    </xf>
    <xf numFmtId="0" fontId="35" fillId="15" borderId="0" xfId="1" applyFont="1" applyFill="1" applyBorder="1" applyAlignment="1">
      <alignment horizontal="center" vertical="center" wrapText="1"/>
    </xf>
    <xf numFmtId="0" fontId="35" fillId="15" borderId="10" xfId="1" applyFont="1" applyFill="1" applyBorder="1" applyAlignment="1">
      <alignment horizontal="center" vertical="center" wrapText="1"/>
    </xf>
    <xf numFmtId="0" fontId="35" fillId="17" borderId="0" xfId="1" applyFont="1" applyFill="1" applyAlignment="1">
      <alignment horizontal="center" vertical="center" wrapText="1"/>
    </xf>
    <xf numFmtId="0" fontId="35" fillId="19" borderId="0" xfId="1" applyFont="1" applyFill="1" applyAlignment="1">
      <alignment horizontal="center" vertical="center" wrapText="1"/>
    </xf>
    <xf numFmtId="0" fontId="35" fillId="20" borderId="0" xfId="1" applyFont="1" applyFill="1" applyAlignment="1">
      <alignment horizontal="center" vertical="center" wrapText="1"/>
    </xf>
    <xf numFmtId="0" fontId="35" fillId="26" borderId="0" xfId="1" applyFont="1" applyFill="1" applyAlignment="1">
      <alignment horizontal="center" vertical="center" wrapText="1"/>
    </xf>
    <xf numFmtId="0" fontId="35" fillId="21" borderId="0" xfId="1" applyFont="1" applyFill="1" applyAlignment="1">
      <alignment horizontal="center" vertical="center" wrapText="1"/>
    </xf>
    <xf numFmtId="0" fontId="35" fillId="22" borderId="0" xfId="1" applyFont="1" applyFill="1" applyAlignment="1">
      <alignment horizontal="center" vertical="center" wrapText="1"/>
    </xf>
    <xf numFmtId="0" fontId="35" fillId="24" borderId="0" xfId="1" applyFont="1" applyFill="1" applyAlignment="1">
      <alignment horizontal="center" vertical="center" wrapText="1"/>
    </xf>
    <xf numFmtId="0" fontId="35" fillId="25" borderId="0" xfId="1" applyFont="1" applyFill="1" applyAlignment="1">
      <alignment horizontal="center" vertical="center" wrapText="1"/>
    </xf>
    <xf numFmtId="0" fontId="35" fillId="29" borderId="0" xfId="1" applyFont="1" applyFill="1" applyAlignment="1">
      <alignment horizontal="center" vertical="center" wrapText="1"/>
    </xf>
    <xf numFmtId="0" fontId="35" fillId="30" borderId="0" xfId="1" applyFont="1" applyFill="1" applyAlignment="1">
      <alignment horizontal="center" vertical="center" wrapText="1"/>
    </xf>
    <xf numFmtId="0" fontId="35" fillId="32" borderId="0" xfId="1" applyFont="1" applyFill="1" applyAlignment="1">
      <alignment horizontal="center" vertical="center" wrapText="1"/>
    </xf>
    <xf numFmtId="0" fontId="34" fillId="16" borderId="0" xfId="1" applyFont="1" applyFill="1" applyAlignment="1">
      <alignment horizontal="center" vertical="center" wrapText="1"/>
    </xf>
    <xf numFmtId="0" fontId="34" fillId="32" borderId="0" xfId="1" applyFont="1" applyFill="1" applyAlignment="1">
      <alignment horizontal="center" vertical="center" wrapText="1"/>
    </xf>
    <xf numFmtId="0" fontId="34" fillId="27" borderId="0" xfId="1" applyFont="1" applyFill="1" applyAlignment="1">
      <alignment horizontal="center" vertical="center" wrapText="1"/>
    </xf>
    <xf numFmtId="0" fontId="34" fillId="32" borderId="6" xfId="1" applyFont="1" applyFill="1" applyBorder="1" applyAlignment="1">
      <alignment horizontal="center" vertical="center" wrapText="1"/>
    </xf>
    <xf numFmtId="0" fontId="34" fillId="20" borderId="6" xfId="1" applyFont="1" applyFill="1" applyBorder="1" applyAlignment="1">
      <alignment horizontal="center" vertical="center" wrapText="1"/>
    </xf>
    <xf numFmtId="0" fontId="33" fillId="2" borderId="6" xfId="1" applyFont="1" applyFill="1" applyBorder="1" applyAlignment="1">
      <alignment horizontal="center" vertical="center" wrapText="1"/>
    </xf>
    <xf numFmtId="0" fontId="33" fillId="25" borderId="0" xfId="1" applyFont="1" applyFill="1" applyAlignment="1">
      <alignment horizontal="center" vertical="center" wrapText="1"/>
    </xf>
    <xf numFmtId="0" fontId="33" fillId="25" borderId="0" xfId="1" applyFont="1" applyFill="1" applyBorder="1" applyAlignment="1">
      <alignment horizontal="center" vertical="center" wrapText="1"/>
    </xf>
    <xf numFmtId="0" fontId="33" fillId="25" borderId="10" xfId="1" applyFont="1" applyFill="1" applyBorder="1" applyAlignment="1">
      <alignment horizontal="center" vertical="center" wrapText="1"/>
    </xf>
    <xf numFmtId="0" fontId="33" fillId="18" borderId="0" xfId="1" applyFont="1" applyFill="1" applyAlignment="1">
      <alignment horizontal="center" vertical="center" wrapText="1"/>
    </xf>
    <xf numFmtId="0" fontId="33" fillId="16" borderId="0" xfId="1" applyFont="1" applyFill="1" applyAlignment="1">
      <alignment horizontal="center" vertical="center" wrapText="1"/>
    </xf>
    <xf numFmtId="0" fontId="33" fillId="14" borderId="0" xfId="1" applyFont="1" applyFill="1" applyAlignment="1">
      <alignment horizontal="center" vertical="center" wrapText="1"/>
    </xf>
    <xf numFmtId="0" fontId="33" fillId="20" borderId="0" xfId="1" applyFont="1" applyFill="1" applyAlignment="1">
      <alignment horizontal="center" vertical="center" wrapText="1"/>
    </xf>
    <xf numFmtId="0" fontId="33" fillId="10" borderId="0" xfId="1" applyFont="1" applyFill="1" applyAlignment="1">
      <alignment horizontal="center" vertical="center" wrapText="1"/>
    </xf>
    <xf numFmtId="0" fontId="33" fillId="11" borderId="0" xfId="1" applyFont="1" applyFill="1" applyAlignment="1">
      <alignment horizontal="center" vertical="center" wrapText="1"/>
    </xf>
    <xf numFmtId="0" fontId="33" fillId="12" borderId="0" xfId="1" applyFont="1" applyFill="1" applyAlignment="1">
      <alignment horizontal="center" vertical="center" wrapText="1"/>
    </xf>
    <xf numFmtId="0" fontId="33" fillId="12" borderId="0" xfId="1" applyFont="1" applyFill="1" applyBorder="1" applyAlignment="1">
      <alignment horizontal="center" vertical="center" wrapText="1"/>
    </xf>
    <xf numFmtId="0" fontId="33" fillId="12" borderId="10" xfId="1" applyFont="1" applyFill="1" applyBorder="1" applyAlignment="1">
      <alignment horizontal="center" vertical="center" wrapText="1"/>
    </xf>
    <xf numFmtId="0" fontId="46" fillId="33" borderId="0" xfId="1" applyFill="1" applyAlignment="1">
      <alignment horizontal="center" vertical="center" wrapText="1"/>
    </xf>
    <xf numFmtId="0" fontId="44" fillId="27" borderId="0" xfId="1" applyFont="1" applyFill="1" applyAlignment="1">
      <alignment horizontal="center" vertical="center" wrapText="1"/>
    </xf>
    <xf numFmtId="0" fontId="44" fillId="27" borderId="0" xfId="1" applyFont="1" applyFill="1" applyBorder="1" applyAlignment="1">
      <alignment horizontal="center" vertical="center" wrapText="1"/>
    </xf>
    <xf numFmtId="0" fontId="46" fillId="27" borderId="8" xfId="1" applyFill="1" applyBorder="1" applyAlignment="1">
      <alignment horizontal="center" vertical="center" wrapText="1"/>
    </xf>
    <xf numFmtId="49" fontId="46" fillId="27" borderId="8" xfId="1" applyNumberFormat="1" applyFill="1" applyBorder="1" applyAlignment="1">
      <alignment horizontal="center" vertical="center" wrapText="1"/>
    </xf>
    <xf numFmtId="0" fontId="32" fillId="32" borderId="0" xfId="1" applyFont="1" applyFill="1" applyAlignment="1">
      <alignment horizontal="center" vertical="center" wrapText="1"/>
    </xf>
    <xf numFmtId="0" fontId="32" fillId="15" borderId="0" xfId="1" applyFont="1" applyFill="1" applyAlignment="1">
      <alignment horizontal="center" vertical="center" wrapText="1"/>
    </xf>
    <xf numFmtId="0" fontId="46" fillId="0" borderId="0" xfId="1" applyFill="1" applyAlignment="1">
      <alignment horizontal="center" vertical="center" wrapText="1"/>
    </xf>
    <xf numFmtId="0" fontId="32" fillId="2" borderId="0" xfId="1" applyFont="1" applyFill="1" applyAlignment="1">
      <alignment horizontal="center" vertical="center" wrapText="1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vertical="center"/>
    </xf>
    <xf numFmtId="0" fontId="31" fillId="16" borderId="0" xfId="1" applyFont="1" applyFill="1" applyAlignment="1">
      <alignment horizontal="center" vertical="center" wrapText="1"/>
    </xf>
    <xf numFmtId="0" fontId="46" fillId="27" borderId="0" xfId="1" applyFill="1" applyBorder="1" applyAlignment="1">
      <alignment horizontal="center" vertical="center" wrapText="1"/>
    </xf>
    <xf numFmtId="0" fontId="0" fillId="27" borderId="0" xfId="0" applyFill="1" applyBorder="1" applyAlignment="1">
      <alignment horizontal="center" vertical="center" wrapText="1"/>
    </xf>
    <xf numFmtId="0" fontId="30" fillId="16" borderId="0" xfId="1" applyFont="1" applyFill="1" applyAlignment="1">
      <alignment horizontal="center" vertical="center" wrapText="1"/>
    </xf>
    <xf numFmtId="0" fontId="30" fillId="29" borderId="0" xfId="1" applyFont="1" applyFill="1" applyAlignment="1">
      <alignment horizontal="center" vertical="center" wrapText="1"/>
    </xf>
    <xf numFmtId="0" fontId="30" fillId="27" borderId="0" xfId="1" applyFont="1" applyFill="1" applyAlignment="1">
      <alignment horizontal="center" vertical="center" wrapText="1"/>
    </xf>
    <xf numFmtId="0" fontId="29" fillId="18" borderId="0" xfId="1" applyFont="1" applyFill="1" applyAlignment="1">
      <alignment horizontal="center" vertical="center" wrapText="1"/>
    </xf>
    <xf numFmtId="0" fontId="29" fillId="21" borderId="0" xfId="1" applyFont="1" applyFill="1" applyAlignment="1">
      <alignment horizontal="center" vertical="center" wrapText="1"/>
    </xf>
    <xf numFmtId="0" fontId="29" fillId="10" borderId="0" xfId="1" applyFont="1" applyFill="1" applyAlignment="1">
      <alignment horizontal="center" vertical="center" wrapText="1"/>
    </xf>
    <xf numFmtId="0" fontId="29" fillId="15" borderId="0" xfId="1" applyFont="1" applyFill="1" applyAlignment="1">
      <alignment horizontal="center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9" borderId="0" xfId="1" applyFont="1" applyFill="1" applyAlignment="1">
      <alignment horizontal="center" vertical="center" wrapText="1"/>
    </xf>
    <xf numFmtId="0" fontId="29" fillId="27" borderId="0" xfId="1" applyFont="1" applyFill="1" applyAlignment="1">
      <alignment horizontal="center" vertical="center" wrapText="1"/>
    </xf>
    <xf numFmtId="0" fontId="29" fillId="11" borderId="0" xfId="1" applyFont="1" applyFill="1" applyAlignment="1">
      <alignment horizontal="center" vertical="center" wrapText="1"/>
    </xf>
    <xf numFmtId="0" fontId="29" fillId="22" borderId="0" xfId="1" applyFont="1" applyFill="1" applyAlignment="1">
      <alignment horizontal="center" vertical="center" wrapText="1"/>
    </xf>
    <xf numFmtId="0" fontId="29" fillId="29" borderId="0" xfId="1" applyFont="1" applyFill="1" applyAlignment="1">
      <alignment horizontal="center" vertical="center" wrapText="1"/>
    </xf>
    <xf numFmtId="0" fontId="29" fillId="14" borderId="0" xfId="1" applyFont="1" applyFill="1" applyAlignment="1">
      <alignment horizontal="center" vertical="center" wrapText="1"/>
    </xf>
    <xf numFmtId="0" fontId="29" fillId="16" borderId="0" xfId="1" applyFont="1" applyFill="1" applyAlignment="1">
      <alignment horizontal="center" vertical="center" wrapText="1"/>
    </xf>
    <xf numFmtId="0" fontId="29" fillId="19" borderId="0" xfId="1" applyFont="1" applyFill="1" applyAlignment="1">
      <alignment horizontal="center" vertical="center" wrapText="1"/>
    </xf>
    <xf numFmtId="0" fontId="29" fillId="26" borderId="0" xfId="1" applyFont="1" applyFill="1" applyAlignment="1">
      <alignment horizontal="center" vertical="center" wrapText="1"/>
    </xf>
    <xf numFmtId="0" fontId="29" fillId="12" borderId="0" xfId="1" applyFont="1" applyFill="1" applyAlignment="1">
      <alignment horizontal="center" vertical="center" wrapText="1"/>
    </xf>
    <xf numFmtId="0" fontId="28" fillId="4" borderId="0" xfId="1" applyFont="1" applyFill="1" applyAlignment="1">
      <alignment horizontal="center" vertical="center" wrapText="1"/>
    </xf>
    <xf numFmtId="0" fontId="28" fillId="29" borderId="0" xfId="1" applyFont="1" applyFill="1" applyAlignment="1">
      <alignment horizontal="center" vertical="center" wrapText="1"/>
    </xf>
    <xf numFmtId="0" fontId="28" fillId="22" borderId="0" xfId="1" applyFont="1" applyFill="1" applyAlignment="1">
      <alignment horizontal="center" vertical="center" wrapText="1"/>
    </xf>
    <xf numFmtId="0" fontId="28" fillId="16" borderId="0" xfId="1" applyFont="1" applyFill="1" applyAlignment="1">
      <alignment horizontal="center" vertical="center" wrapText="1"/>
    </xf>
    <xf numFmtId="0" fontId="28" fillId="25" borderId="0" xfId="1" applyFont="1" applyFill="1" applyAlignment="1">
      <alignment horizontal="center" vertical="center" wrapText="1"/>
    </xf>
    <xf numFmtId="0" fontId="28" fillId="30" borderId="0" xfId="1" applyFont="1" applyFill="1" applyAlignment="1">
      <alignment horizontal="center" vertical="center" wrapText="1"/>
    </xf>
    <xf numFmtId="0" fontId="28" fillId="17" borderId="0" xfId="1" applyFont="1" applyFill="1" applyBorder="1" applyAlignment="1">
      <alignment horizontal="center" vertical="center" wrapText="1"/>
    </xf>
    <xf numFmtId="0" fontId="27" fillId="15" borderId="0" xfId="1" applyFont="1" applyFill="1" applyAlignment="1">
      <alignment horizontal="center" vertical="center" wrapText="1"/>
    </xf>
    <xf numFmtId="16" fontId="27" fillId="4" borderId="0" xfId="1" applyNumberFormat="1" applyFont="1" applyFill="1" applyBorder="1" applyAlignment="1">
      <alignment horizontal="center" vertical="center" wrapText="1"/>
    </xf>
    <xf numFmtId="0" fontId="26" fillId="0" borderId="0" xfId="1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26" fillId="0" borderId="0" xfId="1" applyNumberFormat="1" applyFont="1" applyFill="1" applyBorder="1" applyAlignment="1">
      <alignment vertical="center"/>
    </xf>
    <xf numFmtId="1" fontId="0" fillId="0" borderId="0" xfId="0" applyNumberFormat="1" applyFill="1"/>
    <xf numFmtId="1" fontId="0" fillId="0" borderId="0" xfId="0" applyNumberFormat="1" applyFill="1" applyAlignment="1">
      <alignment horizontal="right" vertical="center"/>
    </xf>
    <xf numFmtId="2" fontId="46" fillId="7" borderId="0" xfId="1" applyNumberFormat="1" applyFill="1" applyAlignment="1">
      <alignment horizontal="center" vertical="center" wrapText="1"/>
    </xf>
    <xf numFmtId="2" fontId="46" fillId="8" borderId="0" xfId="1" applyNumberFormat="1" applyFill="1" applyAlignment="1">
      <alignment horizontal="center" vertical="center" wrapText="1"/>
    </xf>
    <xf numFmtId="2" fontId="46" fillId="4" borderId="0" xfId="1" applyNumberFormat="1" applyFill="1" applyAlignment="1">
      <alignment horizontal="center" vertical="center" wrapText="1"/>
    </xf>
    <xf numFmtId="2" fontId="46" fillId="11" borderId="0" xfId="1" applyNumberFormat="1" applyFill="1" applyAlignment="1">
      <alignment horizontal="center" vertical="center" wrapText="1"/>
    </xf>
    <xf numFmtId="2" fontId="46" fillId="12" borderId="0" xfId="1" applyNumberFormat="1" applyFill="1" applyAlignment="1">
      <alignment horizontal="center" vertical="center" wrapText="1"/>
    </xf>
    <xf numFmtId="2" fontId="46" fillId="14" borderId="0" xfId="1" applyNumberFormat="1" applyFill="1" applyAlignment="1">
      <alignment horizontal="center" vertical="center" wrapText="1"/>
    </xf>
    <xf numFmtId="2" fontId="46" fillId="10" borderId="0" xfId="1" applyNumberFormat="1" applyFill="1" applyAlignment="1">
      <alignment horizontal="center" vertical="center" wrapText="1"/>
    </xf>
    <xf numFmtId="2" fontId="46" fillId="15" borderId="0" xfId="1" applyNumberFormat="1" applyFill="1" applyAlignment="1">
      <alignment horizontal="center" vertical="center" wrapText="1"/>
    </xf>
    <xf numFmtId="2" fontId="46" fillId="13" borderId="0" xfId="1" applyNumberFormat="1" applyFill="1" applyAlignment="1">
      <alignment horizontal="center" vertical="center" wrapText="1"/>
    </xf>
    <xf numFmtId="2" fontId="46" fillId="16" borderId="0" xfId="1" applyNumberFormat="1" applyFill="1" applyAlignment="1">
      <alignment horizontal="center" vertical="center" wrapText="1"/>
    </xf>
    <xf numFmtId="2" fontId="46" fillId="17" borderId="0" xfId="1" applyNumberFormat="1" applyFill="1" applyAlignment="1">
      <alignment horizontal="center" vertical="center" wrapText="1"/>
    </xf>
    <xf numFmtId="2" fontId="46" fillId="18" borderId="0" xfId="1" applyNumberFormat="1" applyFill="1" applyAlignment="1">
      <alignment horizontal="center" vertical="center" wrapText="1"/>
    </xf>
    <xf numFmtId="2" fontId="46" fillId="9" borderId="0" xfId="1" applyNumberFormat="1" applyFill="1" applyAlignment="1">
      <alignment horizontal="center" vertical="center" wrapText="1"/>
    </xf>
    <xf numFmtId="2" fontId="46" fillId="19" borderId="0" xfId="1" applyNumberFormat="1" applyFill="1" applyAlignment="1">
      <alignment horizontal="center" vertical="center" wrapText="1"/>
    </xf>
    <xf numFmtId="2" fontId="46" fillId="20" borderId="0" xfId="1" applyNumberFormat="1" applyFill="1" applyAlignment="1">
      <alignment horizontal="center" vertical="center" wrapText="1"/>
    </xf>
    <xf numFmtId="2" fontId="46" fillId="26" borderId="0" xfId="1" applyNumberFormat="1" applyFill="1" applyAlignment="1">
      <alignment horizontal="center" vertical="center" wrapText="1"/>
    </xf>
    <xf numFmtId="2" fontId="46" fillId="21" borderId="0" xfId="1" applyNumberFormat="1" applyFill="1" applyAlignment="1">
      <alignment horizontal="center" vertical="center" wrapText="1"/>
    </xf>
    <xf numFmtId="2" fontId="46" fillId="22" borderId="0" xfId="1" applyNumberFormat="1" applyFill="1" applyAlignment="1">
      <alignment horizontal="center" vertical="center" wrapText="1"/>
    </xf>
    <xf numFmtId="2" fontId="46" fillId="24" borderId="0" xfId="1" applyNumberFormat="1" applyFill="1" applyAlignment="1">
      <alignment horizontal="center" vertical="center" wrapText="1"/>
    </xf>
    <xf numFmtId="2" fontId="46" fillId="2" borderId="0" xfId="1" applyNumberFormat="1" applyFill="1" applyAlignment="1">
      <alignment horizontal="center" vertical="center" wrapText="1"/>
    </xf>
    <xf numFmtId="2" fontId="46" fillId="25" borderId="0" xfId="1" applyNumberFormat="1" applyFill="1" applyAlignment="1">
      <alignment horizontal="center" vertical="center" wrapText="1"/>
    </xf>
    <xf numFmtId="2" fontId="46" fillId="29" borderId="0" xfId="1" applyNumberFormat="1" applyFill="1" applyAlignment="1">
      <alignment horizontal="center" vertical="center" wrapText="1"/>
    </xf>
    <xf numFmtId="2" fontId="46" fillId="28" borderId="0" xfId="1" applyNumberFormat="1" applyFill="1" applyAlignment="1">
      <alignment horizontal="center" vertical="center" wrapText="1"/>
    </xf>
    <xf numFmtId="2" fontId="46" fillId="30" borderId="0" xfId="1" applyNumberFormat="1" applyFill="1" applyAlignment="1">
      <alignment horizontal="center" vertical="center" wrapText="1"/>
    </xf>
    <xf numFmtId="2" fontId="46" fillId="10" borderId="0" xfId="1" applyNumberFormat="1" applyFill="1" applyBorder="1" applyAlignment="1">
      <alignment horizontal="center" vertical="center" wrapText="1"/>
    </xf>
    <xf numFmtId="2" fontId="46" fillId="32" borderId="0" xfId="1" applyNumberFormat="1" applyFill="1" applyAlignment="1">
      <alignment horizontal="center" vertical="center" wrapText="1"/>
    </xf>
    <xf numFmtId="2" fontId="0" fillId="27" borderId="0" xfId="0" applyNumberFormat="1" applyFill="1" applyAlignment="1">
      <alignment horizontal="center" vertical="center" wrapText="1"/>
    </xf>
    <xf numFmtId="2" fontId="46" fillId="27" borderId="0" xfId="1" applyNumberFormat="1" applyFill="1" applyAlignment="1">
      <alignment horizontal="center" vertical="center" wrapText="1"/>
    </xf>
    <xf numFmtId="2" fontId="46" fillId="27" borderId="0" xfId="1" applyNumberFormat="1" applyFill="1" applyBorder="1" applyAlignment="1">
      <alignment horizontal="center" vertical="center" wrapText="1"/>
    </xf>
    <xf numFmtId="2" fontId="46" fillId="0" borderId="0" xfId="1" applyNumberFormat="1" applyAlignment="1">
      <alignment horizontal="center" vertical="center" wrapText="1"/>
    </xf>
    <xf numFmtId="0" fontId="26" fillId="0" borderId="0" xfId="1" applyNumberFormat="1" applyFont="1" applyFill="1" applyBorder="1" applyAlignment="1">
      <alignment horizontal="left" vertical="center" wrapText="1"/>
    </xf>
    <xf numFmtId="16" fontId="26" fillId="0" borderId="0" xfId="1" applyNumberFormat="1" applyFont="1" applyFill="1" applyBorder="1" applyAlignment="1">
      <alignment horizontal="left" vertical="center" wrapText="1"/>
    </xf>
    <xf numFmtId="2" fontId="46" fillId="0" borderId="0" xfId="1" applyNumberFormat="1" applyFill="1" applyAlignment="1">
      <alignment horizontal="center" vertical="center" wrapText="1"/>
    </xf>
    <xf numFmtId="2" fontId="46" fillId="0" borderId="0" xfId="1" applyNumberForma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46" fillId="0" borderId="8" xfId="1" applyNumberFormat="1" applyFill="1" applyBorder="1" applyAlignment="1">
      <alignment horizontal="center" vertical="center" wrapText="1"/>
    </xf>
    <xf numFmtId="0" fontId="25" fillId="4" borderId="0" xfId="1" applyFont="1" applyFill="1" applyBorder="1" applyAlignment="1">
      <alignment horizontal="center" vertical="center" wrapText="1"/>
    </xf>
    <xf numFmtId="0" fontId="25" fillId="12" borderId="0" xfId="1" applyFont="1" applyFill="1" applyAlignment="1">
      <alignment horizontal="center" vertical="center" wrapText="1"/>
    </xf>
    <xf numFmtId="0" fontId="25" fillId="16" borderId="0" xfId="1" applyFont="1" applyFill="1" applyAlignment="1">
      <alignment horizontal="center" vertical="center" wrapText="1"/>
    </xf>
    <xf numFmtId="0" fontId="25" fillId="22" borderId="0" xfId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left" vertical="top"/>
    </xf>
    <xf numFmtId="0" fontId="25" fillId="0" borderId="0" xfId="1" applyNumberFormat="1" applyFont="1" applyFill="1" applyBorder="1" applyAlignment="1">
      <alignment horizontal="left" vertical="top" wrapText="1"/>
    </xf>
    <xf numFmtId="0" fontId="25" fillId="2" borderId="0" xfId="1" applyFont="1" applyFill="1" applyAlignment="1">
      <alignment horizontal="center" vertical="center" wrapText="1"/>
    </xf>
    <xf numFmtId="0" fontId="25" fillId="22" borderId="0" xfId="1" applyFont="1" applyFill="1" applyAlignment="1">
      <alignment horizontal="center" vertical="center" wrapText="1"/>
    </xf>
    <xf numFmtId="0" fontId="25" fillId="27" borderId="0" xfId="1" applyFont="1" applyFill="1" applyAlignment="1">
      <alignment horizontal="center" vertical="center" wrapText="1"/>
    </xf>
    <xf numFmtId="0" fontId="25" fillId="29" borderId="0" xfId="1" applyFont="1" applyFill="1" applyAlignment="1">
      <alignment horizontal="center" vertical="center" wrapText="1"/>
    </xf>
    <xf numFmtId="0" fontId="25" fillId="15" borderId="0" xfId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4" fillId="0" borderId="0" xfId="1" applyNumberFormat="1" applyFont="1" applyFill="1" applyBorder="1" applyAlignment="1">
      <alignment horizontal="left" wrapText="1"/>
    </xf>
    <xf numFmtId="0" fontId="24" fillId="5" borderId="0" xfId="1" applyNumberFormat="1" applyFont="1" applyFill="1" applyBorder="1" applyAlignment="1">
      <alignment horizontal="left" wrapText="1"/>
    </xf>
    <xf numFmtId="0" fontId="24" fillId="2" borderId="0" xfId="1" applyNumberFormat="1" applyFont="1" applyFill="1" applyBorder="1" applyAlignment="1">
      <alignment horizontal="left" wrapText="1"/>
    </xf>
    <xf numFmtId="0" fontId="24" fillId="34" borderId="0" xfId="1" applyNumberFormat="1" applyFont="1" applyFill="1" applyBorder="1" applyAlignment="1">
      <alignment horizontal="left" wrapText="1"/>
    </xf>
    <xf numFmtId="0" fontId="23" fillId="15" borderId="6" xfId="1" applyFont="1" applyFill="1" applyBorder="1" applyAlignment="1">
      <alignment horizontal="center" vertical="center" wrapText="1"/>
    </xf>
    <xf numFmtId="0" fontId="23" fillId="15" borderId="0" xfId="1" applyFont="1" applyFill="1" applyAlignment="1">
      <alignment horizontal="center" vertical="center" wrapText="1"/>
    </xf>
    <xf numFmtId="0" fontId="22" fillId="15" borderId="0" xfId="1" applyFont="1" applyFill="1" applyAlignment="1">
      <alignment horizontal="center" vertical="center" wrapText="1"/>
    </xf>
    <xf numFmtId="0" fontId="22" fillId="18" borderId="0" xfId="1" applyFont="1" applyFill="1" applyAlignment="1">
      <alignment horizontal="center" vertical="center" wrapText="1"/>
    </xf>
    <xf numFmtId="0" fontId="22" fillId="29" borderId="0" xfId="1" applyFont="1" applyFill="1" applyAlignment="1">
      <alignment horizontal="center" vertical="center" wrapText="1"/>
    </xf>
    <xf numFmtId="0" fontId="22" fillId="27" borderId="0" xfId="1" applyFont="1" applyFill="1" applyAlignment="1">
      <alignment horizontal="center" vertical="center" wrapText="1"/>
    </xf>
    <xf numFmtId="0" fontId="22" fillId="4" borderId="0" xfId="1" applyFont="1" applyFill="1" applyAlignment="1">
      <alignment horizontal="center" vertical="center" wrapText="1"/>
    </xf>
    <xf numFmtId="0" fontId="22" fillId="14" borderId="0" xfId="1" applyFont="1" applyFill="1" applyAlignment="1">
      <alignment horizontal="center" vertical="center" wrapText="1"/>
    </xf>
    <xf numFmtId="0" fontId="22" fillId="30" borderId="0" xfId="1" applyFont="1" applyFill="1" applyAlignment="1">
      <alignment horizontal="center" vertical="center" wrapText="1"/>
    </xf>
    <xf numFmtId="0" fontId="22" fillId="26" borderId="0" xfId="1" applyFont="1" applyFill="1" applyAlignment="1">
      <alignment horizontal="center" vertical="center" wrapText="1"/>
    </xf>
    <xf numFmtId="0" fontId="22" fillId="16" borderId="0" xfId="1" applyFont="1" applyFill="1" applyAlignment="1">
      <alignment horizontal="center" vertical="center" wrapText="1"/>
    </xf>
    <xf numFmtId="0" fontId="22" fillId="11" borderId="0" xfId="1" applyFont="1" applyFill="1" applyAlignment="1">
      <alignment horizontal="center" vertical="center" wrapText="1"/>
    </xf>
    <xf numFmtId="2" fontId="22" fillId="0" borderId="0" xfId="1" applyNumberFormat="1" applyFont="1" applyFill="1" applyAlignment="1">
      <alignment horizontal="center" vertical="center" wrapText="1"/>
    </xf>
    <xf numFmtId="0" fontId="22" fillId="10" borderId="0" xfId="1" applyFont="1" applyFill="1" applyAlignment="1">
      <alignment horizontal="center" vertical="center" wrapText="1"/>
    </xf>
    <xf numFmtId="0" fontId="22" fillId="27" borderId="6" xfId="1" applyFont="1" applyFill="1" applyBorder="1" applyAlignment="1">
      <alignment horizontal="center" vertical="center" wrapText="1"/>
    </xf>
    <xf numFmtId="0" fontId="53" fillId="0" borderId="0" xfId="0" applyFont="1" applyAlignment="1"/>
    <xf numFmtId="0" fontId="22" fillId="0" borderId="0" xfId="1" applyNumberFormat="1" applyFont="1" applyFill="1" applyBorder="1" applyAlignment="1">
      <alignment horizontal="left" wrapText="1"/>
    </xf>
    <xf numFmtId="0" fontId="0" fillId="0" borderId="0" xfId="0" applyFill="1" applyAlignment="1">
      <alignment horizontal="left" vertical="top"/>
    </xf>
    <xf numFmtId="0" fontId="22" fillId="27" borderId="10" xfId="1" applyFont="1" applyFill="1" applyBorder="1" applyAlignment="1">
      <alignment horizontal="center" vertical="center" wrapText="1"/>
    </xf>
    <xf numFmtId="0" fontId="22" fillId="32" borderId="6" xfId="1" applyFont="1" applyFill="1" applyBorder="1" applyAlignment="1">
      <alignment horizontal="center" vertical="center" wrapText="1"/>
    </xf>
    <xf numFmtId="0" fontId="22" fillId="2" borderId="0" xfId="1" applyFont="1" applyFill="1" applyAlignment="1">
      <alignment horizontal="center" vertical="center" wrapText="1"/>
    </xf>
    <xf numFmtId="0" fontId="22" fillId="7" borderId="0" xfId="1" applyFont="1" applyFill="1" applyAlignment="1">
      <alignment horizontal="center" vertical="center" wrapText="1"/>
    </xf>
    <xf numFmtId="0" fontId="22" fillId="8" borderId="0" xfId="1" applyFont="1" applyFill="1" applyAlignment="1">
      <alignment horizontal="center" vertical="center" wrapText="1"/>
    </xf>
    <xf numFmtId="0" fontId="22" fillId="0" borderId="0" xfId="1" applyNumberFormat="1" applyFont="1" applyFill="1" applyBorder="1" applyAlignment="1">
      <alignment horizontal="left" vertical="center" wrapText="1"/>
    </xf>
    <xf numFmtId="0" fontId="22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26" fillId="0" borderId="12" xfId="1" applyNumberFormat="1" applyFont="1" applyFill="1" applyBorder="1" applyAlignment="1">
      <alignment horizontal="left" vertical="center" wrapText="1"/>
    </xf>
    <xf numFmtId="0" fontId="22" fillId="15" borderId="6" xfId="1" applyFont="1" applyFill="1" applyBorder="1" applyAlignment="1">
      <alignment horizontal="center" vertical="center" wrapText="1"/>
    </xf>
    <xf numFmtId="0" fontId="42" fillId="28" borderId="0" xfId="1" applyFont="1" applyFill="1" applyBorder="1" applyAlignment="1">
      <alignment horizontal="center" vertical="center" wrapText="1"/>
    </xf>
    <xf numFmtId="2" fontId="46" fillId="28" borderId="0" xfId="1" applyNumberFormat="1" applyFill="1" applyBorder="1" applyAlignment="1">
      <alignment horizontal="center" vertical="center" wrapText="1"/>
    </xf>
    <xf numFmtId="0" fontId="22" fillId="19" borderId="0" xfId="1" applyFont="1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45" fillId="8" borderId="0" xfId="1" applyFont="1" applyFill="1" applyBorder="1" applyAlignment="1">
      <alignment horizontal="center" vertical="center" wrapText="1"/>
    </xf>
    <xf numFmtId="0" fontId="22" fillId="8" borderId="0" xfId="1" applyFont="1" applyFill="1" applyBorder="1" applyAlignment="1">
      <alignment horizontal="center" vertical="center" wrapText="1"/>
    </xf>
    <xf numFmtId="2" fontId="46" fillId="8" borderId="0" xfId="1" applyNumberForma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45" fillId="20" borderId="0" xfId="1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/>
    </xf>
    <xf numFmtId="0" fontId="22" fillId="0" borderId="13" xfId="0" applyFont="1" applyFill="1" applyBorder="1" applyAlignment="1">
      <alignment horizontal="left"/>
    </xf>
    <xf numFmtId="0" fontId="54" fillId="0" borderId="12" xfId="0" applyFont="1" applyFill="1" applyBorder="1" applyAlignment="1">
      <alignment horizontal="left"/>
    </xf>
    <xf numFmtId="1" fontId="0" fillId="0" borderId="14" xfId="0" applyNumberFormat="1" applyFont="1" applyBorder="1"/>
    <xf numFmtId="1" fontId="0" fillId="35" borderId="14" xfId="0" applyNumberFormat="1" applyFont="1" applyFill="1" applyBorder="1"/>
    <xf numFmtId="1" fontId="54" fillId="0" borderId="15" xfId="0" applyNumberFormat="1" applyFont="1" applyBorder="1"/>
    <xf numFmtId="0" fontId="0" fillId="0" borderId="0" xfId="0" applyAlignment="1">
      <alignment horizontal="center"/>
    </xf>
    <xf numFmtId="0" fontId="0" fillId="10" borderId="0" xfId="0" applyFill="1"/>
    <xf numFmtId="0" fontId="0" fillId="3" borderId="0" xfId="0" applyFill="1"/>
    <xf numFmtId="0" fontId="0" fillId="0" borderId="12" xfId="0" applyFont="1" applyBorder="1"/>
    <xf numFmtId="0" fontId="0" fillId="0" borderId="16" xfId="0" applyFont="1" applyBorder="1"/>
    <xf numFmtId="0" fontId="0" fillId="0" borderId="14" xfId="0" applyFont="1" applyBorder="1"/>
    <xf numFmtId="0" fontId="22" fillId="21" borderId="0" xfId="1" applyFont="1" applyFill="1" applyAlignment="1">
      <alignment horizontal="center" vertical="center" wrapText="1"/>
    </xf>
    <xf numFmtId="0" fontId="22" fillId="22" borderId="0" xfId="1" applyFont="1" applyFill="1" applyAlignment="1">
      <alignment horizontal="center" vertical="center" wrapText="1"/>
    </xf>
    <xf numFmtId="0" fontId="22" fillId="24" borderId="0" xfId="1" applyFont="1" applyFill="1" applyAlignment="1">
      <alignment horizontal="center" vertical="center" wrapText="1"/>
    </xf>
    <xf numFmtId="0" fontId="21" fillId="24" borderId="0" xfId="1" applyFont="1" applyFill="1" applyAlignment="1">
      <alignment horizontal="center" vertical="center" wrapText="1"/>
    </xf>
    <xf numFmtId="0" fontId="21" fillId="21" borderId="0" xfId="1" applyFont="1" applyFill="1" applyAlignment="1">
      <alignment horizontal="center" vertical="center" wrapText="1"/>
    </xf>
    <xf numFmtId="0" fontId="54" fillId="27" borderId="0" xfId="1" applyFont="1" applyFill="1" applyAlignment="1">
      <alignment horizontal="center" vertical="center" wrapText="1"/>
    </xf>
    <xf numFmtId="0" fontId="21" fillId="27" borderId="0" xfId="1" applyFont="1" applyFill="1" applyAlignment="1">
      <alignment horizontal="center" vertical="center" wrapText="1"/>
    </xf>
    <xf numFmtId="0" fontId="20" fillId="27" borderId="0" xfId="1" applyFont="1" applyFill="1" applyAlignment="1">
      <alignment horizontal="center" vertical="center" wrapText="1"/>
    </xf>
    <xf numFmtId="0" fontId="20" fillId="27" borderId="6" xfId="1" applyFont="1" applyFill="1" applyBorder="1" applyAlignment="1">
      <alignment horizontal="center" vertical="center" wrapText="1"/>
    </xf>
    <xf numFmtId="0" fontId="20" fillId="27" borderId="1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0" fillId="10" borderId="0" xfId="0" applyFill="1" applyAlignment="1">
      <alignment horizontal="left"/>
    </xf>
    <xf numFmtId="2" fontId="0" fillId="10" borderId="0" xfId="0" applyNumberFormat="1" applyFill="1" applyAlignment="1"/>
    <xf numFmtId="0" fontId="0" fillId="36" borderId="0" xfId="0" applyFill="1" applyAlignment="1">
      <alignment horizontal="center" vertical="center"/>
    </xf>
    <xf numFmtId="0" fontId="0" fillId="36" borderId="0" xfId="0" applyFill="1" applyAlignment="1"/>
    <xf numFmtId="0" fontId="0" fillId="36" borderId="0" xfId="0" applyFill="1" applyAlignment="1">
      <alignment horizontal="left"/>
    </xf>
    <xf numFmtId="2" fontId="0" fillId="36" borderId="0" xfId="0" applyNumberFormat="1" applyFill="1" applyAlignment="1"/>
    <xf numFmtId="0" fontId="0" fillId="37" borderId="0" xfId="0" applyFill="1" applyAlignment="1">
      <alignment horizontal="center" vertical="center"/>
    </xf>
    <xf numFmtId="0" fontId="0" fillId="37" borderId="0" xfId="0" applyFill="1" applyAlignment="1"/>
    <xf numFmtId="0" fontId="0" fillId="37" borderId="0" xfId="0" applyFill="1" applyAlignment="1">
      <alignment horizontal="left"/>
    </xf>
    <xf numFmtId="2" fontId="0" fillId="37" borderId="0" xfId="0" applyNumberFormat="1" applyFill="1" applyAlignment="1"/>
    <xf numFmtId="0" fontId="0" fillId="38" borderId="0" xfId="0" applyFill="1" applyAlignment="1">
      <alignment horizontal="center"/>
    </xf>
    <xf numFmtId="0" fontId="0" fillId="38" borderId="0" xfId="0" applyFill="1" applyAlignment="1"/>
    <xf numFmtId="0" fontId="0" fillId="38" borderId="0" xfId="0" applyFill="1" applyAlignment="1">
      <alignment horizontal="left"/>
    </xf>
    <xf numFmtId="2" fontId="0" fillId="38" borderId="0" xfId="0" applyNumberFormat="1" applyFill="1" applyAlignment="1"/>
    <xf numFmtId="0" fontId="24" fillId="15" borderId="0" xfId="1" applyNumberFormat="1" applyFont="1" applyFill="1" applyBorder="1" applyAlignment="1">
      <alignment horizontal="left" wrapText="1"/>
    </xf>
    <xf numFmtId="0" fontId="19" fillId="13" borderId="0" xfId="1" applyFont="1" applyFill="1" applyAlignment="1">
      <alignment horizontal="center" vertical="center" wrapText="1"/>
    </xf>
    <xf numFmtId="0" fontId="19" fillId="2" borderId="0" xfId="1" applyFont="1" applyFill="1" applyAlignment="1">
      <alignment horizontal="center" vertical="center" wrapText="1"/>
    </xf>
    <xf numFmtId="0" fontId="19" fillId="14" borderId="0" xfId="1" applyFont="1" applyFill="1" applyAlignment="1">
      <alignment horizontal="center" vertical="center" wrapText="1"/>
    </xf>
    <xf numFmtId="0" fontId="19" fillId="28" borderId="0" xfId="1" applyFont="1" applyFill="1" applyBorder="1" applyAlignment="1">
      <alignment horizontal="center" vertical="center" wrapText="1"/>
    </xf>
    <xf numFmtId="0" fontId="19" fillId="14" borderId="10" xfId="1" applyFont="1" applyFill="1" applyBorder="1" applyAlignment="1">
      <alignment horizontal="center" vertical="center" wrapText="1"/>
    </xf>
    <xf numFmtId="0" fontId="19" fillId="14" borderId="0" xfId="1" applyFont="1" applyFill="1" applyBorder="1" applyAlignment="1">
      <alignment horizontal="center" vertical="center" wrapText="1"/>
    </xf>
    <xf numFmtId="0" fontId="19" fillId="2" borderId="0" xfId="1" applyFont="1" applyFill="1" applyBorder="1" applyAlignment="1">
      <alignment horizontal="center" vertical="center" wrapText="1"/>
    </xf>
    <xf numFmtId="0" fontId="19" fillId="2" borderId="10" xfId="1" applyFont="1" applyFill="1" applyBorder="1" applyAlignment="1">
      <alignment horizontal="center" vertical="center" wrapText="1"/>
    </xf>
    <xf numFmtId="0" fontId="19" fillId="27" borderId="0" xfId="1" applyFont="1" applyFill="1" applyAlignment="1">
      <alignment horizontal="center" vertical="center" wrapText="1"/>
    </xf>
    <xf numFmtId="0" fontId="19" fillId="25" borderId="0" xfId="1" applyFont="1" applyFill="1" applyAlignment="1">
      <alignment horizontal="center" vertical="center" wrapText="1"/>
    </xf>
    <xf numFmtId="0" fontId="19" fillId="4" borderId="0" xfId="1" applyFont="1" applyFill="1" applyAlignment="1">
      <alignment horizontal="center" vertical="center" wrapText="1"/>
    </xf>
    <xf numFmtId="0" fontId="54" fillId="27" borderId="6" xfId="1" applyFont="1" applyFill="1" applyBorder="1" applyAlignment="1">
      <alignment horizontal="center" vertical="center" wrapText="1"/>
    </xf>
    <xf numFmtId="0" fontId="19" fillId="28" borderId="0" xfId="1" applyFont="1" applyFill="1" applyAlignment="1">
      <alignment horizontal="center" vertical="center" wrapText="1"/>
    </xf>
    <xf numFmtId="0" fontId="19" fillId="28" borderId="10" xfId="1" applyFont="1" applyFill="1" applyBorder="1" applyAlignment="1">
      <alignment horizontal="center" vertical="center" wrapText="1"/>
    </xf>
    <xf numFmtId="0" fontId="19" fillId="17" borderId="0" xfId="1" applyFont="1" applyFill="1" applyAlignment="1">
      <alignment horizontal="center" vertical="center" wrapText="1"/>
    </xf>
    <xf numFmtId="0" fontId="19" fillId="17" borderId="10" xfId="1" applyFont="1" applyFill="1" applyBorder="1" applyAlignment="1">
      <alignment horizontal="center" vertical="center" wrapText="1"/>
    </xf>
    <xf numFmtId="0" fontId="19" fillId="17" borderId="6" xfId="1" applyFont="1" applyFill="1" applyBorder="1" applyAlignment="1">
      <alignment horizontal="center" vertical="center" wrapText="1"/>
    </xf>
    <xf numFmtId="0" fontId="19" fillId="20" borderId="0" xfId="1" applyFont="1" applyFill="1" applyAlignment="1">
      <alignment horizontal="center" vertical="center" wrapText="1"/>
    </xf>
    <xf numFmtId="0" fontId="19" fillId="26" borderId="0" xfId="1" applyFont="1" applyFill="1" applyBorder="1" applyAlignment="1">
      <alignment horizontal="center" vertical="center" wrapText="1"/>
    </xf>
    <xf numFmtId="0" fontId="19" fillId="26" borderId="0" xfId="1" applyFont="1" applyFill="1" applyAlignment="1">
      <alignment horizontal="center" vertical="center" wrapText="1"/>
    </xf>
    <xf numFmtId="0" fontId="19" fillId="27" borderId="6" xfId="1" applyFont="1" applyFill="1" applyBorder="1" applyAlignment="1">
      <alignment horizontal="center" vertical="center" wrapText="1"/>
    </xf>
    <xf numFmtId="0" fontId="19" fillId="17" borderId="0" xfId="1" applyFont="1" applyFill="1" applyBorder="1" applyAlignment="1">
      <alignment horizontal="center" vertical="center" wrapText="1"/>
    </xf>
    <xf numFmtId="0" fontId="19" fillId="13" borderId="0" xfId="1" applyFont="1" applyFill="1" applyBorder="1" applyAlignment="1">
      <alignment horizontal="center" vertical="center" wrapText="1"/>
    </xf>
    <xf numFmtId="0" fontId="19" fillId="13" borderId="10" xfId="1" applyFont="1" applyFill="1" applyBorder="1" applyAlignment="1">
      <alignment horizontal="center" vertical="center" wrapText="1"/>
    </xf>
    <xf numFmtId="0" fontId="18" fillId="10" borderId="0" xfId="1" applyFont="1" applyFill="1" applyAlignment="1">
      <alignment horizontal="center" vertical="center" wrapText="1"/>
    </xf>
    <xf numFmtId="0" fontId="17" fillId="10" borderId="0" xfId="1" applyFont="1" applyFill="1" applyAlignment="1">
      <alignment horizontal="center" vertical="center" wrapText="1"/>
    </xf>
    <xf numFmtId="0" fontId="17" fillId="10" borderId="0" xfId="1" applyFont="1" applyFill="1" applyBorder="1" applyAlignment="1">
      <alignment horizontal="center" vertical="center" wrapText="1"/>
    </xf>
    <xf numFmtId="0" fontId="17" fillId="10" borderId="10" xfId="1" applyFont="1" applyFill="1" applyBorder="1" applyAlignment="1">
      <alignment horizontal="center" vertical="center" wrapText="1"/>
    </xf>
    <xf numFmtId="0" fontId="16" fillId="32" borderId="0" xfId="1" applyFont="1" applyFill="1" applyAlignment="1">
      <alignment horizontal="center" vertical="center" wrapText="1"/>
    </xf>
    <xf numFmtId="0" fontId="16" fillId="2" borderId="0" xfId="1" applyFont="1" applyFill="1" applyAlignment="1">
      <alignment horizontal="center" vertical="center" wrapText="1"/>
    </xf>
    <xf numFmtId="0" fontId="16" fillId="27" borderId="0" xfId="1" applyFont="1" applyFill="1" applyAlignment="1">
      <alignment horizontal="center" vertical="center" wrapText="1"/>
    </xf>
    <xf numFmtId="0" fontId="14" fillId="27" borderId="0" xfId="1" applyFont="1" applyFill="1" applyBorder="1" applyAlignment="1">
      <alignment horizontal="center" vertical="center" wrapText="1"/>
    </xf>
    <xf numFmtId="0" fontId="0" fillId="27" borderId="0" xfId="1" applyFont="1" applyFill="1" applyAlignment="1">
      <alignment horizontal="center" vertical="center" wrapText="1"/>
    </xf>
    <xf numFmtId="0" fontId="0" fillId="27" borderId="6" xfId="1" applyFont="1" applyFill="1" applyBorder="1" applyAlignment="1">
      <alignment horizontal="center" vertical="center" wrapText="1"/>
    </xf>
    <xf numFmtId="0" fontId="0" fillId="27" borderId="10" xfId="1" applyFont="1" applyFill="1" applyBorder="1" applyAlignment="1">
      <alignment horizontal="center" vertical="center" wrapText="1"/>
    </xf>
    <xf numFmtId="0" fontId="14" fillId="27" borderId="0" xfId="1" applyFont="1" applyFill="1" applyAlignment="1">
      <alignment horizontal="center" vertical="center" wrapText="1"/>
    </xf>
    <xf numFmtId="0" fontId="14" fillId="9" borderId="0" xfId="1" applyFont="1" applyFill="1" applyAlignment="1">
      <alignment horizontal="center" vertical="center" wrapText="1"/>
    </xf>
    <xf numFmtId="0" fontId="55" fillId="9" borderId="0" xfId="1" applyFont="1" applyFill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4" fillId="16" borderId="6" xfId="1" applyFont="1" applyFill="1" applyBorder="1" applyAlignment="1">
      <alignment horizontal="center" vertical="center" wrapText="1"/>
    </xf>
    <xf numFmtId="0" fontId="14" fillId="22" borderId="6" xfId="1" applyFont="1" applyFill="1" applyBorder="1" applyAlignment="1">
      <alignment horizontal="center" vertical="center" wrapText="1"/>
    </xf>
    <xf numFmtId="2" fontId="35" fillId="32" borderId="0" xfId="1" applyNumberFormat="1" applyFont="1" applyFill="1" applyAlignment="1">
      <alignment horizontal="center" vertical="center" wrapText="1"/>
    </xf>
    <xf numFmtId="2" fontId="14" fillId="27" borderId="0" xfId="1" applyNumberFormat="1" applyFont="1" applyFill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37" fillId="27" borderId="0" xfId="1" applyFont="1" applyFill="1" applyBorder="1" applyAlignment="1">
      <alignment horizontal="center" vertical="center" wrapText="1"/>
    </xf>
    <xf numFmtId="0" fontId="14" fillId="12" borderId="0" xfId="1" applyFont="1" applyFill="1" applyAlignment="1">
      <alignment horizontal="center" vertical="center" wrapText="1"/>
    </xf>
    <xf numFmtId="0" fontId="14" fillId="20" borderId="0" xfId="1" applyFont="1" applyFill="1" applyAlignment="1">
      <alignment horizontal="center" vertical="center" wrapText="1"/>
    </xf>
    <xf numFmtId="0" fontId="14" fillId="26" borderId="0" xfId="1" applyFont="1" applyFill="1" applyAlignment="1">
      <alignment horizontal="center" vertical="center" wrapText="1"/>
    </xf>
    <xf numFmtId="0" fontId="14" fillId="26" borderId="10" xfId="1" applyFont="1" applyFill="1" applyBorder="1" applyAlignment="1">
      <alignment horizontal="center" vertical="center" wrapText="1"/>
    </xf>
    <xf numFmtId="0" fontId="14" fillId="10" borderId="0" xfId="1" applyNumberFormat="1" applyFont="1" applyFill="1" applyBorder="1" applyAlignment="1">
      <alignment horizontal="left" wrapText="1"/>
    </xf>
    <xf numFmtId="0" fontId="0" fillId="24" borderId="0" xfId="0" applyFill="1" applyAlignment="1">
      <alignment horizontal="left"/>
    </xf>
    <xf numFmtId="1" fontId="0" fillId="24" borderId="0" xfId="0" applyNumberFormat="1" applyFill="1"/>
    <xf numFmtId="0" fontId="0" fillId="24" borderId="0" xfId="0" applyFill="1"/>
    <xf numFmtId="0" fontId="14" fillId="10" borderId="0" xfId="1" applyFont="1" applyFill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0" fontId="14" fillId="32" borderId="6" xfId="1" applyFont="1" applyFill="1" applyBorder="1" applyAlignment="1">
      <alignment horizontal="center" vertical="center" wrapText="1"/>
    </xf>
    <xf numFmtId="0" fontId="46" fillId="2" borderId="0" xfId="1" applyFill="1" applyBorder="1" applyAlignment="1">
      <alignment horizontal="center" vertical="center" wrapText="1"/>
    </xf>
    <xf numFmtId="0" fontId="14" fillId="4" borderId="6" xfId="1" applyFont="1" applyFill="1" applyBorder="1" applyAlignment="1">
      <alignment horizontal="center" vertical="center" wrapText="1"/>
    </xf>
    <xf numFmtId="0" fontId="14" fillId="14" borderId="0" xfId="1" applyFont="1" applyFill="1" applyAlignment="1">
      <alignment horizontal="center" vertical="center" wrapText="1"/>
    </xf>
    <xf numFmtId="0" fontId="47" fillId="10" borderId="0" xfId="1" applyFont="1" applyFill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56" fillId="31" borderId="0" xfId="0" applyFont="1" applyFill="1" applyAlignment="1">
      <alignment horizontal="left"/>
    </xf>
    <xf numFmtId="0" fontId="0" fillId="15" borderId="8" xfId="0" applyFill="1" applyBorder="1" applyAlignment="1">
      <alignment horizontal="center" vertical="center" wrapText="1"/>
    </xf>
    <xf numFmtId="0" fontId="42" fillId="27" borderId="8" xfId="1" applyFont="1" applyFill="1" applyBorder="1" applyAlignment="1">
      <alignment horizontal="center" vertical="center" wrapText="1"/>
    </xf>
    <xf numFmtId="0" fontId="46" fillId="27" borderId="9" xfId="1" applyFill="1" applyBorder="1" applyAlignment="1">
      <alignment horizontal="center" vertical="center" wrapText="1"/>
    </xf>
    <xf numFmtId="0" fontId="39" fillId="21" borderId="0" xfId="1" applyFont="1" applyFill="1" applyBorder="1" applyAlignment="1">
      <alignment horizontal="center" vertical="center" wrapText="1"/>
    </xf>
    <xf numFmtId="0" fontId="42" fillId="27" borderId="11" xfId="1" applyFont="1" applyFill="1" applyBorder="1" applyAlignment="1">
      <alignment horizontal="center" vertical="center" wrapText="1"/>
    </xf>
    <xf numFmtId="0" fontId="14" fillId="27" borderId="8" xfId="1" applyFont="1" applyFill="1" applyBorder="1" applyAlignment="1">
      <alignment horizontal="center" vertical="center" wrapText="1"/>
    </xf>
    <xf numFmtId="2" fontId="46" fillId="27" borderId="8" xfId="1" applyNumberFormat="1" applyFill="1" applyBorder="1" applyAlignment="1">
      <alignment horizontal="center" vertical="center" wrapText="1"/>
    </xf>
    <xf numFmtId="2" fontId="14" fillId="7" borderId="0" xfId="1" applyNumberFormat="1" applyFont="1" applyFill="1" applyAlignment="1">
      <alignment horizontal="center" vertical="center" wrapText="1"/>
    </xf>
    <xf numFmtId="2" fontId="0" fillId="0" borderId="0" xfId="2" applyNumberFormat="1" applyFont="1"/>
    <xf numFmtId="0" fontId="14" fillId="15" borderId="0" xfId="1" applyFont="1" applyFill="1" applyAlignment="1">
      <alignment horizontal="center" vertical="center" wrapText="1"/>
    </xf>
    <xf numFmtId="1" fontId="59" fillId="7" borderId="0" xfId="1" applyNumberFormat="1" applyFont="1" applyFill="1" applyBorder="1" applyAlignment="1">
      <alignment horizontal="center" vertical="center" wrapText="1"/>
    </xf>
    <xf numFmtId="1" fontId="59" fillId="7" borderId="0" xfId="1" applyNumberFormat="1" applyFont="1" applyFill="1" applyAlignment="1">
      <alignment horizontal="center" vertical="center" wrapText="1"/>
    </xf>
    <xf numFmtId="1" fontId="59" fillId="8" borderId="0" xfId="1" applyNumberFormat="1" applyFont="1" applyFill="1" applyBorder="1" applyAlignment="1">
      <alignment horizontal="center" vertical="center" wrapText="1"/>
    </xf>
    <xf numFmtId="1" fontId="59" fillId="8" borderId="0" xfId="1" applyNumberFormat="1" applyFont="1" applyFill="1" applyAlignment="1">
      <alignment horizontal="center" vertical="center" wrapText="1"/>
    </xf>
    <xf numFmtId="1" fontId="59" fillId="4" borderId="0" xfId="1" applyNumberFormat="1" applyFont="1" applyFill="1" applyBorder="1" applyAlignment="1">
      <alignment horizontal="center" vertical="center" wrapText="1"/>
    </xf>
    <xf numFmtId="1" fontId="59" fillId="4" borderId="0" xfId="1" applyNumberFormat="1" applyFont="1" applyFill="1" applyAlignment="1">
      <alignment horizontal="center" vertical="center" wrapText="1"/>
    </xf>
    <xf numFmtId="1" fontId="59" fillId="11" borderId="0" xfId="1" applyNumberFormat="1" applyFont="1" applyFill="1" applyBorder="1" applyAlignment="1">
      <alignment horizontal="center" vertical="center" wrapText="1"/>
    </xf>
    <xf numFmtId="1" fontId="59" fillId="11" borderId="0" xfId="1" applyNumberFormat="1" applyFont="1" applyFill="1" applyAlignment="1">
      <alignment horizontal="center" vertical="center" wrapText="1"/>
    </xf>
    <xf numFmtId="1" fontId="59" fillId="12" borderId="0" xfId="1" applyNumberFormat="1" applyFont="1" applyFill="1" applyBorder="1" applyAlignment="1">
      <alignment horizontal="center" vertical="center" wrapText="1"/>
    </xf>
    <xf numFmtId="1" fontId="59" fillId="12" borderId="0" xfId="1" applyNumberFormat="1" applyFont="1" applyFill="1" applyAlignment="1">
      <alignment horizontal="center" vertical="center" wrapText="1"/>
    </xf>
    <xf numFmtId="1" fontId="59" fillId="14" borderId="0" xfId="1" applyNumberFormat="1" applyFont="1" applyFill="1" applyBorder="1" applyAlignment="1">
      <alignment horizontal="center" vertical="center" wrapText="1"/>
    </xf>
    <xf numFmtId="1" fontId="59" fillId="14" borderId="0" xfId="1" applyNumberFormat="1" applyFont="1" applyFill="1" applyAlignment="1">
      <alignment horizontal="center" vertical="center" wrapText="1"/>
    </xf>
    <xf numFmtId="1" fontId="59" fillId="10" borderId="0" xfId="1" applyNumberFormat="1" applyFont="1" applyFill="1" applyBorder="1" applyAlignment="1">
      <alignment horizontal="center" vertical="center" wrapText="1"/>
    </xf>
    <xf numFmtId="1" fontId="59" fillId="10" borderId="0" xfId="1" applyNumberFormat="1" applyFont="1" applyFill="1" applyAlignment="1">
      <alignment horizontal="center" vertical="center" wrapText="1"/>
    </xf>
    <xf numFmtId="1" fontId="59" fillId="15" borderId="0" xfId="1" applyNumberFormat="1" applyFont="1" applyFill="1" applyBorder="1" applyAlignment="1">
      <alignment horizontal="center" vertical="center" wrapText="1"/>
    </xf>
    <xf numFmtId="1" fontId="59" fillId="15" borderId="0" xfId="1" applyNumberFormat="1" applyFont="1" applyFill="1" applyAlignment="1">
      <alignment horizontal="center" vertical="center" wrapText="1"/>
    </xf>
    <xf numFmtId="1" fontId="59" fillId="13" borderId="0" xfId="1" applyNumberFormat="1" applyFont="1" applyFill="1" applyBorder="1" applyAlignment="1">
      <alignment horizontal="center" vertical="center" wrapText="1"/>
    </xf>
    <xf numFmtId="1" fontId="59" fillId="13" borderId="0" xfId="1" applyNumberFormat="1" applyFont="1" applyFill="1" applyAlignment="1">
      <alignment horizontal="center" vertical="center" wrapText="1"/>
    </xf>
    <xf numFmtId="1" fontId="59" fillId="16" borderId="0" xfId="1" applyNumberFormat="1" applyFont="1" applyFill="1" applyBorder="1" applyAlignment="1">
      <alignment horizontal="center" vertical="center" wrapText="1"/>
    </xf>
    <xf numFmtId="1" fontId="59" fillId="16" borderId="0" xfId="1" applyNumberFormat="1" applyFont="1" applyFill="1" applyAlignment="1">
      <alignment horizontal="center" vertical="center" wrapText="1"/>
    </xf>
    <xf numFmtId="1" fontId="59" fillId="17" borderId="0" xfId="1" applyNumberFormat="1" applyFont="1" applyFill="1" applyBorder="1" applyAlignment="1">
      <alignment horizontal="center" vertical="center" wrapText="1"/>
    </xf>
    <xf numFmtId="1" fontId="59" fillId="17" borderId="0" xfId="1" applyNumberFormat="1" applyFont="1" applyFill="1" applyAlignment="1">
      <alignment horizontal="center" vertical="center" wrapText="1"/>
    </xf>
    <xf numFmtId="1" fontId="59" fillId="18" borderId="0" xfId="1" applyNumberFormat="1" applyFont="1" applyFill="1" applyBorder="1" applyAlignment="1">
      <alignment horizontal="center" vertical="center" wrapText="1"/>
    </xf>
    <xf numFmtId="1" fontId="59" fillId="18" borderId="0" xfId="1" applyNumberFormat="1" applyFont="1" applyFill="1" applyAlignment="1">
      <alignment horizontal="center" vertical="center" wrapText="1"/>
    </xf>
    <xf numFmtId="1" fontId="59" fillId="9" borderId="0" xfId="1" applyNumberFormat="1" applyFont="1" applyFill="1" applyBorder="1" applyAlignment="1">
      <alignment horizontal="center" vertical="center" wrapText="1"/>
    </xf>
    <xf numFmtId="1" fontId="59" fillId="9" borderId="0" xfId="1" applyNumberFormat="1" applyFont="1" applyFill="1" applyAlignment="1">
      <alignment horizontal="center" vertical="center" wrapText="1"/>
    </xf>
    <xf numFmtId="1" fontId="59" fillId="19" borderId="0" xfId="1" applyNumberFormat="1" applyFont="1" applyFill="1" applyBorder="1" applyAlignment="1">
      <alignment horizontal="center" vertical="center" wrapText="1"/>
    </xf>
    <xf numFmtId="1" fontId="59" fillId="19" borderId="0" xfId="1" applyNumberFormat="1" applyFont="1" applyFill="1" applyAlignment="1">
      <alignment horizontal="center" vertical="center" wrapText="1"/>
    </xf>
    <xf numFmtId="1" fontId="59" fillId="20" borderId="0" xfId="1" applyNumberFormat="1" applyFont="1" applyFill="1" applyBorder="1" applyAlignment="1">
      <alignment horizontal="center" vertical="center" wrapText="1"/>
    </xf>
    <xf numFmtId="1" fontId="59" fillId="20" borderId="0" xfId="1" applyNumberFormat="1" applyFont="1" applyFill="1" applyAlignment="1">
      <alignment horizontal="center" vertical="center" wrapText="1"/>
    </xf>
    <xf numFmtId="1" fontId="59" fillId="26" borderId="0" xfId="1" applyNumberFormat="1" applyFont="1" applyFill="1" applyBorder="1" applyAlignment="1">
      <alignment horizontal="center" vertical="center" wrapText="1"/>
    </xf>
    <xf numFmtId="1" fontId="59" fillId="26" borderId="0" xfId="1" applyNumberFormat="1" applyFont="1" applyFill="1" applyAlignment="1">
      <alignment horizontal="center" vertical="center" wrapText="1"/>
    </xf>
    <xf numFmtId="1" fontId="59" fillId="21" borderId="0" xfId="1" applyNumberFormat="1" applyFont="1" applyFill="1" applyBorder="1" applyAlignment="1">
      <alignment horizontal="center" vertical="center" wrapText="1"/>
    </xf>
    <xf numFmtId="1" fontId="59" fillId="21" borderId="0" xfId="1" applyNumberFormat="1" applyFont="1" applyFill="1" applyAlignment="1">
      <alignment horizontal="center" vertical="center" wrapText="1"/>
    </xf>
    <xf numFmtId="1" fontId="59" fillId="22" borderId="0" xfId="1" applyNumberFormat="1" applyFont="1" applyFill="1" applyBorder="1" applyAlignment="1">
      <alignment horizontal="center" vertical="center" wrapText="1"/>
    </xf>
    <xf numFmtId="1" fontId="59" fillId="22" borderId="0" xfId="1" applyNumberFormat="1" applyFont="1" applyFill="1" applyAlignment="1">
      <alignment horizontal="center" vertical="center" wrapText="1"/>
    </xf>
    <xf numFmtId="1" fontId="59" fillId="24" borderId="0" xfId="1" applyNumberFormat="1" applyFont="1" applyFill="1" applyBorder="1" applyAlignment="1">
      <alignment horizontal="center" vertical="center" wrapText="1"/>
    </xf>
    <xf numFmtId="1" fontId="59" fillId="24" borderId="0" xfId="1" applyNumberFormat="1" applyFont="1" applyFill="1" applyAlignment="1">
      <alignment horizontal="center" vertical="center" wrapText="1"/>
    </xf>
    <xf numFmtId="1" fontId="59" fillId="2" borderId="0" xfId="1" applyNumberFormat="1" applyFont="1" applyFill="1" applyBorder="1" applyAlignment="1">
      <alignment horizontal="center" vertical="center" wrapText="1"/>
    </xf>
    <xf numFmtId="1" fontId="59" fillId="2" borderId="0" xfId="1" applyNumberFormat="1" applyFont="1" applyFill="1" applyAlignment="1">
      <alignment horizontal="center" vertical="center" wrapText="1"/>
    </xf>
    <xf numFmtId="1" fontId="59" fillId="25" borderId="0" xfId="1" applyNumberFormat="1" applyFont="1" applyFill="1" applyBorder="1" applyAlignment="1">
      <alignment horizontal="center" vertical="center" wrapText="1"/>
    </xf>
    <xf numFmtId="1" fontId="59" fillId="25" borderId="0" xfId="1" applyNumberFormat="1" applyFont="1" applyFill="1" applyAlignment="1">
      <alignment horizontal="center" vertical="center" wrapText="1"/>
    </xf>
    <xf numFmtId="1" fontId="59" fillId="29" borderId="0" xfId="1" applyNumberFormat="1" applyFont="1" applyFill="1" applyBorder="1" applyAlignment="1">
      <alignment horizontal="center" vertical="center" wrapText="1"/>
    </xf>
    <xf numFmtId="1" fontId="59" fillId="29" borderId="0" xfId="1" applyNumberFormat="1" applyFont="1" applyFill="1" applyAlignment="1">
      <alignment horizontal="center" vertical="center" wrapText="1"/>
    </xf>
    <xf numFmtId="1" fontId="59" fillId="28" borderId="0" xfId="1" applyNumberFormat="1" applyFont="1" applyFill="1" applyBorder="1" applyAlignment="1">
      <alignment horizontal="center" vertical="center" wrapText="1"/>
    </xf>
    <xf numFmtId="1" fontId="59" fillId="28" borderId="0" xfId="1" applyNumberFormat="1" applyFont="1" applyFill="1" applyAlignment="1">
      <alignment horizontal="center" vertical="center" wrapText="1"/>
    </xf>
    <xf numFmtId="1" fontId="59" fillId="30" borderId="0" xfId="1" applyNumberFormat="1" applyFont="1" applyFill="1" applyBorder="1" applyAlignment="1">
      <alignment horizontal="center" vertical="center" wrapText="1"/>
    </xf>
    <xf numFmtId="1" fontId="59" fillId="30" borderId="0" xfId="1" applyNumberFormat="1" applyFont="1" applyFill="1" applyAlignment="1">
      <alignment horizontal="center" vertical="center" wrapText="1"/>
    </xf>
    <xf numFmtId="1" fontId="59" fillId="32" borderId="0" xfId="1" applyNumberFormat="1" applyFont="1" applyFill="1" applyBorder="1" applyAlignment="1">
      <alignment horizontal="center" vertical="center" wrapText="1"/>
    </xf>
    <xf numFmtId="1" fontId="59" fillId="32" borderId="0" xfId="1" applyNumberFormat="1" applyFont="1" applyFill="1" applyAlignment="1">
      <alignment horizontal="center" vertical="center" wrapText="1"/>
    </xf>
    <xf numFmtId="1" fontId="59" fillId="27" borderId="0" xfId="1" applyNumberFormat="1" applyFont="1" applyFill="1" applyBorder="1" applyAlignment="1">
      <alignment horizontal="center" vertical="center" wrapText="1"/>
    </xf>
    <xf numFmtId="1" fontId="59" fillId="27" borderId="0" xfId="0" applyNumberFormat="1" applyFont="1" applyFill="1" applyAlignment="1">
      <alignment horizontal="center" vertical="center" wrapText="1"/>
    </xf>
    <xf numFmtId="1" fontId="59" fillId="27" borderId="0" xfId="1" applyNumberFormat="1" applyFont="1" applyFill="1" applyAlignment="1">
      <alignment horizontal="center" vertical="center" wrapText="1"/>
    </xf>
    <xf numFmtId="1" fontId="59" fillId="27" borderId="8" xfId="1" applyNumberFormat="1" applyFont="1" applyFill="1" applyBorder="1" applyAlignment="1">
      <alignment horizontal="center" vertical="center" wrapText="1"/>
    </xf>
    <xf numFmtId="1" fontId="59" fillId="0" borderId="0" xfId="1" applyNumberFormat="1" applyFont="1" applyAlignment="1">
      <alignment horizontal="center" vertical="center" wrapText="1"/>
    </xf>
    <xf numFmtId="1" fontId="59" fillId="0" borderId="0" xfId="1" applyNumberFormat="1" applyFont="1" applyBorder="1" applyAlignment="1">
      <alignment horizontal="center" vertical="center" wrapText="1"/>
    </xf>
    <xf numFmtId="0" fontId="14" fillId="16" borderId="0" xfId="1" applyFont="1" applyFill="1" applyAlignment="1">
      <alignment horizontal="center" vertical="center" wrapText="1"/>
    </xf>
    <xf numFmtId="10" fontId="59" fillId="2" borderId="0" xfId="2" applyNumberFormat="1" applyFont="1" applyFill="1" applyBorder="1" applyAlignment="1">
      <alignment horizontal="center" vertical="center" wrapText="1"/>
    </xf>
    <xf numFmtId="10" fontId="59" fillId="14" borderId="0" xfId="2" applyNumberFormat="1" applyFont="1" applyFill="1" applyBorder="1" applyAlignment="1">
      <alignment horizontal="center" vertical="center" wrapText="1"/>
    </xf>
    <xf numFmtId="10" fontId="59" fillId="30" borderId="0" xfId="2" applyNumberFormat="1" applyFont="1" applyFill="1" applyBorder="1" applyAlignment="1">
      <alignment horizontal="center" vertical="center" wrapText="1"/>
    </xf>
    <xf numFmtId="10" fontId="59" fillId="28" borderId="0" xfId="2" applyNumberFormat="1" applyFont="1" applyFill="1" applyBorder="1" applyAlignment="1">
      <alignment horizontal="center" vertical="center" wrapText="1"/>
    </xf>
    <xf numFmtId="10" fontId="59" fillId="7" borderId="0" xfId="2" applyNumberFormat="1" applyFont="1" applyFill="1" applyBorder="1" applyAlignment="1">
      <alignment horizontal="center" vertical="center" wrapText="1"/>
    </xf>
    <xf numFmtId="10" fontId="59" fillId="8" borderId="0" xfId="2" applyNumberFormat="1" applyFont="1" applyFill="1" applyBorder="1" applyAlignment="1">
      <alignment horizontal="center" vertical="center" wrapText="1"/>
    </xf>
    <xf numFmtId="10" fontId="59" fillId="4" borderId="0" xfId="2" applyNumberFormat="1" applyFont="1" applyFill="1" applyBorder="1" applyAlignment="1">
      <alignment horizontal="center" vertical="center" wrapText="1"/>
    </xf>
    <xf numFmtId="10" fontId="59" fillId="11" borderId="0" xfId="2" applyNumberFormat="1" applyFont="1" applyFill="1" applyBorder="1" applyAlignment="1">
      <alignment horizontal="center" vertical="center" wrapText="1"/>
    </xf>
    <xf numFmtId="10" fontId="59" fillId="12" borderId="0" xfId="2" applyNumberFormat="1" applyFont="1" applyFill="1" applyBorder="1" applyAlignment="1">
      <alignment horizontal="center" vertical="center" wrapText="1"/>
    </xf>
    <xf numFmtId="10" fontId="59" fillId="10" borderId="0" xfId="2" applyNumberFormat="1" applyFont="1" applyFill="1" applyBorder="1" applyAlignment="1">
      <alignment horizontal="center" vertical="center" wrapText="1"/>
    </xf>
    <xf numFmtId="10" fontId="59" fillId="15" borderId="0" xfId="2" applyNumberFormat="1" applyFont="1" applyFill="1" applyBorder="1" applyAlignment="1">
      <alignment horizontal="center" vertical="center" wrapText="1"/>
    </xf>
    <xf numFmtId="10" fontId="59" fillId="13" borderId="0" xfId="2" applyNumberFormat="1" applyFont="1" applyFill="1" applyBorder="1" applyAlignment="1">
      <alignment horizontal="center" vertical="center" wrapText="1"/>
    </xf>
    <xf numFmtId="10" fontId="59" fillId="16" borderId="0" xfId="2" applyNumberFormat="1" applyFont="1" applyFill="1" applyBorder="1" applyAlignment="1">
      <alignment horizontal="center" vertical="center" wrapText="1"/>
    </xf>
    <xf numFmtId="10" fontId="59" fillId="17" borderId="0" xfId="2" applyNumberFormat="1" applyFont="1" applyFill="1" applyBorder="1" applyAlignment="1">
      <alignment horizontal="center" vertical="center" wrapText="1"/>
    </xf>
    <xf numFmtId="10" fontId="59" fillId="18" borderId="0" xfId="2" applyNumberFormat="1" applyFont="1" applyFill="1" applyBorder="1" applyAlignment="1">
      <alignment horizontal="center" vertical="center" wrapText="1"/>
    </xf>
    <xf numFmtId="10" fontId="59" fillId="9" borderId="0" xfId="2" applyNumberFormat="1" applyFont="1" applyFill="1" applyBorder="1" applyAlignment="1">
      <alignment horizontal="center" vertical="center" wrapText="1"/>
    </xf>
    <xf numFmtId="10" fontId="59" fillId="19" borderId="0" xfId="2" applyNumberFormat="1" applyFont="1" applyFill="1" applyBorder="1" applyAlignment="1">
      <alignment horizontal="center" vertical="center" wrapText="1"/>
    </xf>
    <xf numFmtId="10" fontId="59" fillId="20" borderId="0" xfId="2" applyNumberFormat="1" applyFont="1" applyFill="1" applyBorder="1" applyAlignment="1">
      <alignment horizontal="center" vertical="center" wrapText="1"/>
    </xf>
    <xf numFmtId="10" fontId="59" fillId="26" borderId="0" xfId="2" applyNumberFormat="1" applyFont="1" applyFill="1" applyBorder="1" applyAlignment="1">
      <alignment horizontal="center" vertical="center" wrapText="1"/>
    </xf>
    <xf numFmtId="10" fontId="59" fillId="21" borderId="0" xfId="2" applyNumberFormat="1" applyFont="1" applyFill="1" applyBorder="1" applyAlignment="1">
      <alignment horizontal="center" vertical="center" wrapText="1"/>
    </xf>
    <xf numFmtId="10" fontId="59" fillId="22" borderId="0" xfId="2" applyNumberFormat="1" applyFont="1" applyFill="1" applyBorder="1" applyAlignment="1">
      <alignment horizontal="center" vertical="center" wrapText="1"/>
    </xf>
    <xf numFmtId="10" fontId="59" fillId="24" borderId="0" xfId="2" applyNumberFormat="1" applyFont="1" applyFill="1" applyBorder="1" applyAlignment="1">
      <alignment horizontal="center" vertical="center" wrapText="1"/>
    </xf>
    <xf numFmtId="10" fontId="59" fillId="25" borderId="0" xfId="2" applyNumberFormat="1" applyFont="1" applyFill="1" applyBorder="1" applyAlignment="1">
      <alignment horizontal="center" vertical="center" wrapText="1"/>
    </xf>
    <xf numFmtId="10" fontId="59" fillId="29" borderId="0" xfId="2" applyNumberFormat="1" applyFont="1" applyFill="1" applyBorder="1" applyAlignment="1">
      <alignment horizontal="center" vertical="center" wrapText="1"/>
    </xf>
    <xf numFmtId="10" fontId="59" fillId="32" borderId="0" xfId="2" applyNumberFormat="1" applyFont="1" applyFill="1" applyBorder="1" applyAlignment="1">
      <alignment horizontal="center" vertical="center" wrapText="1"/>
    </xf>
    <xf numFmtId="10" fontId="59" fillId="27" borderId="0" xfId="2" applyNumberFormat="1" applyFont="1" applyFill="1" applyBorder="1" applyAlignment="1">
      <alignment horizontal="center" vertical="center" wrapText="1"/>
    </xf>
    <xf numFmtId="10" fontId="59" fillId="27" borderId="8" xfId="2" applyNumberFormat="1" applyFont="1" applyFill="1" applyBorder="1" applyAlignment="1">
      <alignment horizontal="center" vertical="center" wrapText="1"/>
    </xf>
    <xf numFmtId="10" fontId="59" fillId="0" borderId="0" xfId="2" applyNumberFormat="1" applyFont="1" applyAlignment="1">
      <alignment horizontal="center" vertical="center" wrapText="1"/>
    </xf>
    <xf numFmtId="10" fontId="59" fillId="0" borderId="0" xfId="2" applyNumberFormat="1" applyFont="1" applyBorder="1" applyAlignment="1">
      <alignment horizontal="center" vertical="center" wrapText="1"/>
    </xf>
    <xf numFmtId="0" fontId="48" fillId="31" borderId="0" xfId="0" applyFont="1" applyFill="1"/>
    <xf numFmtId="0" fontId="58" fillId="31" borderId="0" xfId="0" applyFont="1" applyFill="1" applyAlignment="1">
      <alignment horizontal="left"/>
    </xf>
    <xf numFmtId="0" fontId="13" fillId="14" borderId="0" xfId="1" applyFont="1" applyFill="1" applyAlignment="1">
      <alignment horizontal="center" vertical="center" wrapText="1"/>
    </xf>
    <xf numFmtId="0" fontId="13" fillId="28" borderId="6" xfId="1" applyFont="1" applyFill="1" applyBorder="1" applyAlignment="1">
      <alignment horizontal="center" vertical="center" wrapText="1"/>
    </xf>
    <xf numFmtId="0" fontId="13" fillId="28" borderId="0" xfId="1" applyFont="1" applyFill="1" applyAlignment="1">
      <alignment horizontal="center" vertical="center" wrapText="1"/>
    </xf>
    <xf numFmtId="0" fontId="13" fillId="27" borderId="0" xfId="1" applyFont="1" applyFill="1" applyAlignment="1">
      <alignment horizontal="center" vertical="center" wrapText="1"/>
    </xf>
    <xf numFmtId="0" fontId="20" fillId="27" borderId="8" xfId="1" applyFont="1" applyFill="1" applyBorder="1" applyAlignment="1">
      <alignment horizontal="center" vertical="center" wrapText="1"/>
    </xf>
    <xf numFmtId="0" fontId="54" fillId="27" borderId="8" xfId="1" applyFont="1" applyFill="1" applyBorder="1" applyAlignment="1">
      <alignment horizontal="center" vertical="center" wrapText="1"/>
    </xf>
    <xf numFmtId="0" fontId="44" fillId="27" borderId="8" xfId="1" applyFont="1" applyFill="1" applyBorder="1" applyAlignment="1">
      <alignment horizontal="center" vertical="center" wrapText="1"/>
    </xf>
    <xf numFmtId="0" fontId="13" fillId="25" borderId="0" xfId="1" applyFont="1" applyFill="1" applyAlignment="1">
      <alignment horizontal="center" vertical="center" wrapText="1"/>
    </xf>
    <xf numFmtId="0" fontId="13" fillId="2" borderId="0" xfId="1" applyFont="1" applyFill="1" applyAlignment="1">
      <alignment horizontal="center" vertical="center" wrapText="1"/>
    </xf>
    <xf numFmtId="0" fontId="13" fillId="30" borderId="0" xfId="1" applyFont="1" applyFill="1" applyAlignment="1">
      <alignment horizontal="center" vertical="center" wrapText="1"/>
    </xf>
    <xf numFmtId="0" fontId="47" fillId="30" borderId="0" xfId="1" applyFont="1" applyFill="1" applyAlignment="1">
      <alignment horizontal="center" vertical="center" wrapText="1"/>
    </xf>
    <xf numFmtId="0" fontId="13" fillId="10" borderId="0" xfId="1" applyFont="1" applyFill="1" applyAlignment="1">
      <alignment horizontal="center" vertical="center" wrapText="1"/>
    </xf>
    <xf numFmtId="0" fontId="13" fillId="10" borderId="0" xfId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1" borderId="0" xfId="0" applyNumberFormat="1" applyFill="1"/>
    <xf numFmtId="0" fontId="60" fillId="31" borderId="0" xfId="0" applyFont="1" applyFill="1"/>
    <xf numFmtId="0" fontId="54" fillId="27" borderId="0" xfId="1" applyFont="1" applyFill="1" applyBorder="1" applyAlignment="1">
      <alignment horizontal="center" vertical="center" wrapText="1"/>
    </xf>
    <xf numFmtId="0" fontId="0" fillId="27" borderId="0" xfId="1" applyFont="1" applyFill="1" applyBorder="1" applyAlignment="1">
      <alignment horizontal="center" vertical="center" wrapText="1"/>
    </xf>
    <xf numFmtId="2" fontId="59" fillId="11" borderId="0" xfId="1" applyNumberFormat="1" applyFont="1" applyFill="1" applyAlignment="1">
      <alignment horizontal="center" vertical="center" wrapText="1"/>
    </xf>
    <xf numFmtId="2" fontId="13" fillId="4" borderId="0" xfId="1" applyNumberFormat="1" applyFont="1" applyFill="1" applyAlignment="1">
      <alignment horizontal="center" vertical="center" wrapText="1"/>
    </xf>
    <xf numFmtId="2" fontId="13" fillId="11" borderId="0" xfId="1" applyNumberFormat="1" applyFont="1" applyFill="1" applyAlignment="1">
      <alignment horizontal="center" vertical="center" wrapText="1"/>
    </xf>
    <xf numFmtId="2" fontId="13" fillId="14" borderId="0" xfId="1" applyNumberFormat="1" applyFont="1" applyFill="1" applyAlignment="1">
      <alignment horizontal="center" vertical="center" wrapText="1"/>
    </xf>
    <xf numFmtId="2" fontId="13" fillId="15" borderId="0" xfId="1" applyNumberFormat="1" applyFont="1" applyFill="1" applyAlignment="1">
      <alignment horizontal="center" vertical="center" wrapText="1"/>
    </xf>
    <xf numFmtId="2" fontId="13" fillId="18" borderId="0" xfId="1" applyNumberFormat="1" applyFont="1" applyFill="1" applyAlignment="1">
      <alignment horizontal="center" vertical="center" wrapText="1"/>
    </xf>
    <xf numFmtId="2" fontId="13" fillId="26" borderId="0" xfId="1" applyNumberFormat="1" applyFont="1" applyFill="1" applyAlignment="1">
      <alignment horizontal="center" vertical="center" wrapText="1"/>
    </xf>
    <xf numFmtId="2" fontId="13" fillId="21" borderId="0" xfId="1" applyNumberFormat="1" applyFont="1" applyFill="1" applyAlignment="1">
      <alignment horizontal="center" vertical="center" wrapText="1"/>
    </xf>
    <xf numFmtId="2" fontId="13" fillId="30" borderId="0" xfId="1" applyNumberFormat="1" applyFont="1" applyFill="1" applyAlignment="1">
      <alignment horizontal="center" vertical="center" wrapText="1"/>
    </xf>
    <xf numFmtId="2" fontId="13" fillId="27" borderId="0" xfId="1" applyNumberFormat="1" applyFont="1" applyFill="1" applyAlignment="1">
      <alignment horizontal="center" vertical="center" wrapText="1"/>
    </xf>
    <xf numFmtId="2" fontId="13" fillId="27" borderId="8" xfId="1" applyNumberFormat="1" applyFont="1" applyFill="1" applyBorder="1" applyAlignment="1">
      <alignment horizontal="center" vertical="center" wrapText="1"/>
    </xf>
    <xf numFmtId="0" fontId="13" fillId="13" borderId="0" xfId="1" applyFont="1" applyFill="1" applyBorder="1" applyAlignment="1">
      <alignment horizontal="center" vertical="center" wrapText="1"/>
    </xf>
    <xf numFmtId="9" fontId="0" fillId="0" borderId="0" xfId="2" applyFont="1"/>
    <xf numFmtId="0" fontId="13" fillId="0" borderId="0" xfId="1" applyNumberFormat="1" applyFont="1" applyFill="1" applyBorder="1" applyAlignment="1">
      <alignment horizontal="left" wrapText="1"/>
    </xf>
    <xf numFmtId="0" fontId="13" fillId="4" borderId="0" xfId="1" applyFont="1" applyFill="1" applyAlignment="1">
      <alignment horizontal="center" vertical="center" wrapText="1"/>
    </xf>
    <xf numFmtId="165" fontId="0" fillId="0" borderId="0" xfId="2" applyNumberFormat="1" applyFont="1"/>
    <xf numFmtId="165" fontId="46" fillId="0" borderId="0" xfId="1" applyNumberFormat="1" applyFill="1" applyAlignment="1">
      <alignment horizontal="center" vertical="center" wrapText="1"/>
    </xf>
    <xf numFmtId="1" fontId="46" fillId="0" borderId="0" xfId="1" applyNumberFormat="1" applyFill="1" applyAlignment="1">
      <alignment horizontal="center" vertical="center" wrapText="1"/>
    </xf>
    <xf numFmtId="10" fontId="61" fillId="27" borderId="0" xfId="2" applyNumberFormat="1" applyFont="1" applyFill="1" applyBorder="1" applyAlignment="1">
      <alignment horizontal="center" vertical="center" wrapText="1"/>
    </xf>
    <xf numFmtId="0" fontId="12" fillId="27" borderId="0" xfId="1" applyFont="1" applyFill="1" applyBorder="1" applyAlignment="1">
      <alignment horizontal="center" vertical="center" wrapText="1"/>
    </xf>
    <xf numFmtId="0" fontId="20" fillId="15" borderId="0" xfId="1" applyFont="1" applyFill="1" applyAlignment="1">
      <alignment horizontal="center" vertical="center" wrapText="1"/>
    </xf>
    <xf numFmtId="0" fontId="54" fillId="15" borderId="0" xfId="1" applyFont="1" applyFill="1" applyAlignment="1">
      <alignment horizontal="center" vertical="center" wrapText="1"/>
    </xf>
    <xf numFmtId="0" fontId="36" fillId="15" borderId="6" xfId="1" applyFont="1" applyFill="1" applyBorder="1" applyAlignment="1">
      <alignment horizontal="center" vertical="center" wrapText="1"/>
    </xf>
    <xf numFmtId="0" fontId="0" fillId="15" borderId="0" xfId="1" applyFont="1" applyFill="1" applyAlignment="1">
      <alignment horizontal="center" vertical="center" wrapText="1"/>
    </xf>
    <xf numFmtId="0" fontId="42" fillId="15" borderId="0" xfId="1" applyFont="1" applyFill="1" applyBorder="1" applyAlignment="1">
      <alignment horizontal="center" vertical="center" wrapText="1"/>
    </xf>
    <xf numFmtId="0" fontId="20" fillId="15" borderId="0" xfId="1" applyFont="1" applyFill="1" applyBorder="1" applyAlignment="1">
      <alignment horizontal="center" vertical="center" wrapText="1"/>
    </xf>
    <xf numFmtId="0" fontId="46" fillId="15" borderId="0" xfId="1" applyFill="1" applyBorder="1" applyAlignment="1">
      <alignment horizontal="center" vertical="center" wrapText="1"/>
    </xf>
    <xf numFmtId="0" fontId="54" fillId="15" borderId="0" xfId="1" applyFont="1" applyFill="1" applyBorder="1" applyAlignment="1">
      <alignment horizontal="center" vertical="center" wrapText="1"/>
    </xf>
    <xf numFmtId="0" fontId="36" fillId="15" borderId="0" xfId="1" applyFont="1" applyFill="1" applyBorder="1" applyAlignment="1">
      <alignment horizontal="center" vertical="center" wrapText="1"/>
    </xf>
    <xf numFmtId="0" fontId="14" fillId="15" borderId="0" xfId="1" applyFont="1" applyFill="1" applyBorder="1" applyAlignment="1">
      <alignment horizontal="center" vertical="center" wrapText="1"/>
    </xf>
    <xf numFmtId="2" fontId="46" fillId="15" borderId="0" xfId="1" applyNumberFormat="1" applyFill="1" applyBorder="1" applyAlignment="1">
      <alignment horizontal="center" vertical="center" wrapText="1"/>
    </xf>
    <xf numFmtId="0" fontId="15" fillId="15" borderId="0" xfId="1" applyFont="1" applyFill="1" applyAlignment="1">
      <alignment horizontal="center" vertical="center" wrapText="1"/>
    </xf>
    <xf numFmtId="0" fontId="15" fillId="15" borderId="6" xfId="1" applyFont="1" applyFill="1" applyBorder="1" applyAlignment="1">
      <alignment horizontal="center" vertical="center" wrapText="1"/>
    </xf>
    <xf numFmtId="0" fontId="15" fillId="15" borderId="0" xfId="1" applyFont="1" applyFill="1" applyBorder="1" applyAlignment="1">
      <alignment horizontal="center" vertical="center" wrapText="1"/>
    </xf>
    <xf numFmtId="165" fontId="46" fillId="15" borderId="0" xfId="1" applyNumberFormat="1" applyFill="1" applyAlignment="1">
      <alignment horizontal="center" vertical="center" wrapText="1"/>
    </xf>
    <xf numFmtId="2" fontId="15" fillId="15" borderId="0" xfId="1" applyNumberFormat="1" applyFont="1" applyFill="1" applyAlignment="1">
      <alignment horizontal="center" vertical="center" wrapText="1"/>
    </xf>
    <xf numFmtId="0" fontId="12" fillId="15" borderId="0" xfId="1" applyFont="1" applyFill="1" applyAlignment="1">
      <alignment horizontal="center" vertical="center" wrapText="1"/>
    </xf>
    <xf numFmtId="0" fontId="12" fillId="7" borderId="0" xfId="1" applyFont="1" applyFill="1" applyAlignment="1">
      <alignment horizontal="center" vertical="center" wrapText="1"/>
    </xf>
    <xf numFmtId="0" fontId="42" fillId="7" borderId="0" xfId="1" applyFont="1" applyFill="1" applyBorder="1" applyAlignment="1">
      <alignment horizontal="center" vertical="center" wrapText="1"/>
    </xf>
    <xf numFmtId="0" fontId="37" fillId="7" borderId="0" xfId="1" applyFont="1" applyFill="1" applyBorder="1" applyAlignment="1">
      <alignment horizontal="center" vertical="center" wrapText="1"/>
    </xf>
    <xf numFmtId="0" fontId="41" fillId="7" borderId="0" xfId="1" applyFont="1" applyFill="1" applyBorder="1" applyAlignment="1">
      <alignment horizontal="center" vertical="center" wrapText="1"/>
    </xf>
    <xf numFmtId="0" fontId="42" fillId="8" borderId="0" xfId="1" applyFont="1" applyFill="1" applyBorder="1" applyAlignment="1">
      <alignment horizontal="center" vertical="center" wrapText="1"/>
    </xf>
    <xf numFmtId="0" fontId="13" fillId="12" borderId="0" xfId="1" applyFont="1" applyFill="1" applyBorder="1" applyAlignment="1">
      <alignment horizontal="center" vertical="center" wrapText="1"/>
    </xf>
    <xf numFmtId="0" fontId="13" fillId="14" borderId="0" xfId="1" applyFont="1" applyFill="1" applyBorder="1" applyAlignment="1">
      <alignment horizontal="center" vertical="center" wrapText="1"/>
    </xf>
    <xf numFmtId="0" fontId="38" fillId="10" borderId="0" xfId="1" applyFont="1" applyFill="1" applyBorder="1" applyAlignment="1">
      <alignment horizontal="center" vertical="center" wrapText="1"/>
    </xf>
    <xf numFmtId="0" fontId="22" fillId="15" borderId="0" xfId="1" applyFont="1" applyFill="1" applyBorder="1" applyAlignment="1">
      <alignment horizontal="center" vertical="center" wrapText="1"/>
    </xf>
    <xf numFmtId="0" fontId="23" fillId="15" borderId="0" xfId="1" applyFont="1" applyFill="1" applyBorder="1" applyAlignment="1">
      <alignment horizontal="center" vertical="center" wrapText="1"/>
    </xf>
    <xf numFmtId="0" fontId="38" fillId="15" borderId="0" xfId="1" applyFont="1" applyFill="1" applyBorder="1" applyAlignment="1">
      <alignment horizontal="center" vertical="center" wrapText="1"/>
    </xf>
    <xf numFmtId="0" fontId="14" fillId="16" borderId="0" xfId="1" applyFont="1" applyFill="1" applyBorder="1" applyAlignment="1">
      <alignment horizontal="center" vertical="center" wrapText="1"/>
    </xf>
    <xf numFmtId="0" fontId="46" fillId="9" borderId="0" xfId="1" applyFill="1" applyBorder="1" applyAlignment="1">
      <alignment horizontal="center" vertical="center" wrapText="1"/>
    </xf>
    <xf numFmtId="0" fontId="14" fillId="4" borderId="0" xfId="1" applyFont="1" applyFill="1" applyBorder="1" applyAlignment="1">
      <alignment horizontal="center" vertical="center" wrapText="1"/>
    </xf>
    <xf numFmtId="0" fontId="34" fillId="20" borderId="0" xfId="1" applyFont="1" applyFill="1" applyBorder="1" applyAlignment="1">
      <alignment horizontal="center" vertical="center" wrapText="1"/>
    </xf>
    <xf numFmtId="0" fontId="42" fillId="26" borderId="0" xfId="1" applyFont="1" applyFill="1" applyBorder="1" applyAlignment="1">
      <alignment horizontal="center" vertical="center" wrapText="1"/>
    </xf>
    <xf numFmtId="0" fontId="14" fillId="26" borderId="0" xfId="1" applyFont="1" applyFill="1" applyBorder="1" applyAlignment="1">
      <alignment horizontal="center" vertical="center" wrapText="1"/>
    </xf>
    <xf numFmtId="0" fontId="43" fillId="21" borderId="0" xfId="1" applyFont="1" applyFill="1" applyBorder="1" applyAlignment="1">
      <alignment horizontal="center" vertical="center" wrapText="1"/>
    </xf>
    <xf numFmtId="0" fontId="45" fillId="21" borderId="0" xfId="1" applyFont="1" applyFill="1" applyBorder="1" applyAlignment="1">
      <alignment horizontal="center" vertical="center" wrapText="1"/>
    </xf>
    <xf numFmtId="0" fontId="14" fillId="22" borderId="0" xfId="1" applyFont="1" applyFill="1" applyBorder="1" applyAlignment="1">
      <alignment horizontal="center" vertical="center" wrapText="1"/>
    </xf>
    <xf numFmtId="0" fontId="39" fillId="22" borderId="0" xfId="1" applyFont="1" applyFill="1" applyBorder="1" applyAlignment="1">
      <alignment horizontal="center" vertical="center" wrapText="1"/>
    </xf>
    <xf numFmtId="0" fontId="38" fillId="16" borderId="0" xfId="1" applyFont="1" applyFill="1" applyBorder="1" applyAlignment="1">
      <alignment horizontal="center" vertical="center" wrapText="1"/>
    </xf>
    <xf numFmtId="0" fontId="38" fillId="24" borderId="0" xfId="1" applyFont="1" applyFill="1" applyBorder="1" applyAlignment="1">
      <alignment horizontal="center" vertical="center" wrapText="1"/>
    </xf>
    <xf numFmtId="0" fontId="40" fillId="10" borderId="0" xfId="1" applyFont="1" applyFill="1" applyBorder="1" applyAlignment="1">
      <alignment horizontal="center" vertical="center" wrapText="1"/>
    </xf>
    <xf numFmtId="0" fontId="33" fillId="2" borderId="0" xfId="1" applyFont="1" applyFill="1" applyBorder="1" applyAlignment="1">
      <alignment horizontal="center" vertical="center" wrapText="1"/>
    </xf>
    <xf numFmtId="0" fontId="14" fillId="2" borderId="0" xfId="1" applyFont="1" applyFill="1" applyBorder="1" applyAlignment="1">
      <alignment horizontal="center" vertical="center" wrapText="1"/>
    </xf>
    <xf numFmtId="0" fontId="13" fillId="25" borderId="0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center" vertical="center" wrapText="1"/>
    </xf>
    <xf numFmtId="0" fontId="13" fillId="28" borderId="0" xfId="1" applyFont="1" applyFill="1" applyBorder="1" applyAlignment="1">
      <alignment horizontal="center" vertical="center" wrapText="1"/>
    </xf>
    <xf numFmtId="0" fontId="13" fillId="30" borderId="0" xfId="1" applyFont="1" applyFill="1" applyBorder="1" applyAlignment="1">
      <alignment horizontal="center" vertical="center" wrapText="1"/>
    </xf>
    <xf numFmtId="0" fontId="22" fillId="32" borderId="0" xfId="1" applyFont="1" applyFill="1" applyBorder="1" applyAlignment="1">
      <alignment horizontal="center" vertical="center" wrapText="1"/>
    </xf>
    <xf numFmtId="0" fontId="34" fillId="32" borderId="0" xfId="1" applyFont="1" applyFill="1" applyBorder="1" applyAlignment="1">
      <alignment horizontal="center" vertical="center" wrapText="1"/>
    </xf>
    <xf numFmtId="0" fontId="14" fillId="32" borderId="0" xfId="1" applyFont="1" applyFill="1" applyBorder="1" applyAlignment="1">
      <alignment horizontal="center" vertical="center" wrapText="1"/>
    </xf>
    <xf numFmtId="0" fontId="22" fillId="27" borderId="0" xfId="1" applyFont="1" applyFill="1" applyBorder="1" applyAlignment="1">
      <alignment horizontal="center" vertical="center" wrapText="1"/>
    </xf>
    <xf numFmtId="0" fontId="34" fillId="27" borderId="0" xfId="1" applyFont="1" applyFill="1" applyBorder="1" applyAlignment="1">
      <alignment horizontal="center" vertical="center" wrapText="1"/>
    </xf>
    <xf numFmtId="0" fontId="19" fillId="13" borderId="6" xfId="1" applyFont="1" applyFill="1" applyBorder="1" applyAlignment="1">
      <alignment horizontal="center" vertical="center" wrapText="1"/>
    </xf>
    <xf numFmtId="0" fontId="13" fillId="13" borderId="6" xfId="1" applyFont="1" applyFill="1" applyBorder="1" applyAlignment="1">
      <alignment horizontal="center" vertical="center" wrapText="1"/>
    </xf>
    <xf numFmtId="0" fontId="39" fillId="21" borderId="6" xfId="1" applyFont="1" applyFill="1" applyBorder="1" applyAlignment="1">
      <alignment horizontal="center" vertical="center" wrapText="1"/>
    </xf>
    <xf numFmtId="0" fontId="12" fillId="7" borderId="6" xfId="1" applyFont="1" applyFill="1" applyBorder="1" applyAlignment="1">
      <alignment horizontal="center" vertical="center" wrapText="1"/>
    </xf>
    <xf numFmtId="0" fontId="12" fillId="8" borderId="0" xfId="1" applyFont="1" applyFill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12" fillId="4" borderId="0" xfId="1" applyFont="1" applyFill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1" fillId="11" borderId="0" xfId="1" applyFont="1" applyFill="1" applyAlignment="1">
      <alignment horizontal="center" vertical="center" wrapText="1"/>
    </xf>
    <xf numFmtId="0" fontId="11" fillId="20" borderId="0" xfId="1" applyFont="1" applyFill="1" applyAlignment="1">
      <alignment horizontal="center" vertical="center" wrapText="1"/>
    </xf>
    <xf numFmtId="0" fontId="11" fillId="4" borderId="0" xfId="1" applyFont="1" applyFill="1" applyAlignment="1">
      <alignment horizontal="center" vertical="center" wrapText="1"/>
    </xf>
    <xf numFmtId="0" fontId="11" fillId="12" borderId="0" xfId="1" applyFont="1" applyFill="1" applyAlignment="1">
      <alignment horizontal="center" vertical="center" wrapText="1"/>
    </xf>
    <xf numFmtId="0" fontId="11" fillId="14" borderId="0" xfId="1" applyFont="1" applyFill="1" applyAlignment="1">
      <alignment horizontal="center" vertical="center" wrapText="1"/>
    </xf>
    <xf numFmtId="0" fontId="11" fillId="13" borderId="0" xfId="1" applyFont="1" applyFill="1" applyAlignment="1">
      <alignment horizontal="center" vertical="center" wrapText="1"/>
    </xf>
    <xf numFmtId="0" fontId="11" fillId="17" borderId="0" xfId="1" applyFont="1" applyFill="1" applyAlignment="1">
      <alignment horizontal="center" vertical="center" wrapText="1"/>
    </xf>
    <xf numFmtId="0" fontId="11" fillId="19" borderId="0" xfId="1" applyFont="1" applyFill="1" applyAlignment="1">
      <alignment horizontal="center" vertical="center" wrapText="1"/>
    </xf>
    <xf numFmtId="0" fontId="11" fillId="21" borderId="0" xfId="1" applyFont="1" applyFill="1" applyAlignment="1">
      <alignment horizontal="center" vertical="center" wrapText="1"/>
    </xf>
    <xf numFmtId="0" fontId="11" fillId="22" borderId="0" xfId="1" applyFont="1" applyFill="1" applyAlignment="1">
      <alignment horizontal="center" vertical="center" wrapText="1"/>
    </xf>
    <xf numFmtId="0" fontId="11" fillId="16" borderId="0" xfId="1" applyFont="1" applyFill="1" applyAlignment="1">
      <alignment horizontal="center" vertical="center" wrapText="1"/>
    </xf>
    <xf numFmtId="0" fontId="11" fillId="24" borderId="0" xfId="1" applyFont="1" applyFill="1" applyAlignment="1">
      <alignment horizontal="center" vertical="center" wrapText="1"/>
    </xf>
    <xf numFmtId="0" fontId="11" fillId="25" borderId="0" xfId="1" applyFont="1" applyFill="1" applyAlignment="1">
      <alignment horizontal="center" vertical="center" wrapText="1"/>
    </xf>
    <xf numFmtId="0" fontId="11" fillId="29" borderId="0" xfId="1" applyFont="1" applyFill="1" applyAlignment="1">
      <alignment horizontal="center" vertical="center" wrapText="1"/>
    </xf>
    <xf numFmtId="0" fontId="11" fillId="2" borderId="0" xfId="1" applyFont="1" applyFill="1" applyAlignment="1">
      <alignment horizontal="center" vertical="center" wrapText="1"/>
    </xf>
    <xf numFmtId="0" fontId="11" fillId="10" borderId="0" xfId="1" applyFont="1" applyFill="1" applyAlignment="1">
      <alignment horizontal="center" vertical="center" wrapText="1"/>
    </xf>
    <xf numFmtId="0" fontId="11" fillId="27" borderId="0" xfId="1" applyFont="1" applyFill="1" applyAlignment="1">
      <alignment horizontal="center" vertical="center" wrapText="1"/>
    </xf>
    <xf numFmtId="0" fontId="11" fillId="27" borderId="0" xfId="1" applyFont="1" applyFill="1" applyBorder="1" applyAlignment="1">
      <alignment horizontal="center" vertical="center" wrapText="1"/>
    </xf>
    <xf numFmtId="0" fontId="22" fillId="4" borderId="0" xfId="1" applyFont="1" applyFill="1" applyBorder="1" applyAlignment="1">
      <alignment horizontal="center" vertical="center" wrapText="1"/>
    </xf>
    <xf numFmtId="0" fontId="28" fillId="4" borderId="0" xfId="1" applyFont="1" applyFill="1" applyBorder="1" applyAlignment="1">
      <alignment horizontal="center" vertical="center" wrapText="1"/>
    </xf>
    <xf numFmtId="0" fontId="41" fillId="4" borderId="0" xfId="1" applyFont="1" applyFill="1" applyBorder="1" applyAlignment="1">
      <alignment horizontal="center" vertical="center" wrapText="1"/>
    </xf>
    <xf numFmtId="0" fontId="42" fillId="11" borderId="0" xfId="1" applyFont="1" applyFill="1" applyBorder="1" applyAlignment="1">
      <alignment horizontal="center" vertical="center" wrapText="1"/>
    </xf>
    <xf numFmtId="0" fontId="42" fillId="12" borderId="0" xfId="1" applyFont="1" applyFill="1" applyBorder="1" applyAlignment="1">
      <alignment horizontal="center" vertical="center" wrapText="1"/>
    </xf>
    <xf numFmtId="0" fontId="28" fillId="10" borderId="0" xfId="1" applyFont="1" applyFill="1" applyBorder="1" applyAlignment="1">
      <alignment horizontal="center" vertical="center" wrapText="1"/>
    </xf>
    <xf numFmtId="0" fontId="28" fillId="15" borderId="0" xfId="1" applyFont="1" applyFill="1" applyBorder="1" applyAlignment="1">
      <alignment horizontal="center" vertical="center" wrapText="1"/>
    </xf>
    <xf numFmtId="0" fontId="46" fillId="13" borderId="0" xfId="1" applyFill="1" applyBorder="1" applyAlignment="1">
      <alignment horizontal="center" vertical="center" wrapText="1"/>
    </xf>
    <xf numFmtId="0" fontId="28" fillId="16" borderId="0" xfId="1" applyFont="1" applyFill="1" applyBorder="1" applyAlignment="1">
      <alignment horizontal="center" vertical="center" wrapText="1"/>
    </xf>
    <xf numFmtId="0" fontId="46" fillId="17" borderId="0" xfId="1" applyFill="1" applyBorder="1" applyAlignment="1">
      <alignment horizontal="center" vertical="center" wrapText="1"/>
    </xf>
    <xf numFmtId="0" fontId="27" fillId="17" borderId="0" xfId="1" applyFont="1" applyFill="1" applyBorder="1" applyAlignment="1">
      <alignment horizontal="center" vertical="center" wrapText="1"/>
    </xf>
    <xf numFmtId="0" fontId="28" fillId="18" borderId="0" xfId="1" applyFont="1" applyFill="1" applyBorder="1" applyAlignment="1">
      <alignment horizontal="center" vertical="center" wrapText="1"/>
    </xf>
    <xf numFmtId="0" fontId="42" fillId="19" borderId="0" xfId="1" applyFont="1" applyFill="1" applyBorder="1" applyAlignment="1">
      <alignment horizontal="center" vertical="center" wrapText="1"/>
    </xf>
    <xf numFmtId="0" fontId="46" fillId="20" borderId="0" xfId="1" applyFill="1" applyBorder="1" applyAlignment="1">
      <alignment horizontal="center" vertical="center" wrapText="1"/>
    </xf>
    <xf numFmtId="0" fontId="46" fillId="21" borderId="0" xfId="1" applyFill="1" applyBorder="1" applyAlignment="1">
      <alignment horizontal="center" vertical="center" wrapText="1"/>
    </xf>
    <xf numFmtId="0" fontId="28" fillId="22" borderId="0" xfId="1" applyFont="1" applyFill="1" applyBorder="1" applyAlignment="1">
      <alignment horizontal="center" vertical="center" wrapText="1"/>
    </xf>
    <xf numFmtId="0" fontId="42" fillId="16" borderId="0" xfId="1" applyFont="1" applyFill="1" applyBorder="1" applyAlignment="1">
      <alignment horizontal="center" vertical="center" wrapText="1"/>
    </xf>
    <xf numFmtId="0" fontId="42" fillId="25" borderId="0" xfId="1" applyFont="1" applyFill="1" applyBorder="1" applyAlignment="1">
      <alignment horizontal="center" vertical="center" wrapText="1"/>
    </xf>
    <xf numFmtId="0" fontId="28" fillId="29" borderId="0" xfId="1" applyFont="1" applyFill="1" applyBorder="1" applyAlignment="1">
      <alignment horizontal="center" vertical="center" wrapText="1"/>
    </xf>
    <xf numFmtId="0" fontId="16" fillId="32" borderId="0" xfId="1" applyFont="1" applyFill="1" applyBorder="1" applyAlignment="1">
      <alignment horizontal="center" vertical="center" wrapText="1"/>
    </xf>
    <xf numFmtId="0" fontId="28" fillId="32" borderId="0" xfId="1" applyFont="1" applyFill="1" applyBorder="1" applyAlignment="1">
      <alignment horizontal="center" vertical="center" wrapText="1"/>
    </xf>
    <xf numFmtId="0" fontId="28" fillId="27" borderId="0" xfId="1" applyFont="1" applyFill="1" applyBorder="1" applyAlignment="1">
      <alignment horizontal="center" vertical="center" wrapText="1"/>
    </xf>
    <xf numFmtId="0" fontId="11" fillId="15" borderId="0" xfId="1" applyFont="1" applyFill="1" applyBorder="1" applyAlignment="1">
      <alignment horizontal="center" vertical="center" wrapText="1"/>
    </xf>
    <xf numFmtId="0" fontId="11" fillId="15" borderId="0" xfId="1" applyFont="1" applyFill="1" applyAlignment="1">
      <alignment horizontal="center" vertical="center" wrapText="1"/>
    </xf>
    <xf numFmtId="0" fontId="11" fillId="15" borderId="6" xfId="1" applyFont="1" applyFill="1" applyBorder="1" applyAlignment="1">
      <alignment horizontal="center" vertical="center" wrapText="1"/>
    </xf>
    <xf numFmtId="0" fontId="11" fillId="0" borderId="0" xfId="1" applyNumberFormat="1" applyFont="1" applyFill="1" applyBorder="1" applyAlignment="1">
      <alignment horizontal="left" vertical="center" wrapText="1"/>
    </xf>
    <xf numFmtId="0" fontId="10" fillId="15" borderId="0" xfId="1" applyFont="1" applyFill="1" applyAlignment="1">
      <alignment horizontal="center" vertical="center" wrapText="1"/>
    </xf>
    <xf numFmtId="0" fontId="10" fillId="15" borderId="0" xfId="1" applyFont="1" applyFill="1" applyBorder="1" applyAlignment="1">
      <alignment horizontal="center" vertical="center" wrapText="1"/>
    </xf>
    <xf numFmtId="0" fontId="10" fillId="27" borderId="0" xfId="1" applyFont="1" applyFill="1" applyAlignment="1">
      <alignment horizontal="center" vertical="center" wrapText="1"/>
    </xf>
    <xf numFmtId="0" fontId="11" fillId="0" borderId="0" xfId="1" applyNumberFormat="1" applyFont="1" applyFill="1" applyBorder="1" applyAlignment="1">
      <alignment vertical="center"/>
    </xf>
    <xf numFmtId="0" fontId="9" fillId="15" borderId="0" xfId="1" applyFont="1" applyFill="1" applyBorder="1" applyAlignment="1">
      <alignment horizontal="center" vertical="center" wrapText="1"/>
    </xf>
    <xf numFmtId="0" fontId="9" fillId="15" borderId="0" xfId="1" applyFont="1" applyFill="1" applyAlignment="1">
      <alignment horizontal="center" vertical="center" wrapText="1"/>
    </xf>
    <xf numFmtId="0" fontId="42" fillId="15" borderId="6" xfId="1" applyFont="1" applyFill="1" applyBorder="1" applyAlignment="1">
      <alignment horizontal="center" vertical="center" wrapText="1"/>
    </xf>
    <xf numFmtId="0" fontId="9" fillId="4" borderId="0" xfId="1" applyFont="1" applyFill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8" fillId="4" borderId="0" xfId="1" applyFont="1" applyFill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0" xfId="1" applyFont="1" applyFill="1" applyBorder="1" applyAlignment="1">
      <alignment horizontal="center" vertical="center" wrapText="1"/>
    </xf>
    <xf numFmtId="0" fontId="8" fillId="27" borderId="0" xfId="1" applyFont="1" applyFill="1" applyAlignment="1">
      <alignment horizontal="center" vertical="center" wrapText="1"/>
    </xf>
    <xf numFmtId="0" fontId="8" fillId="27" borderId="0" xfId="1" applyFont="1" applyFill="1" applyBorder="1" applyAlignment="1">
      <alignment horizontal="center" vertical="center" wrapText="1"/>
    </xf>
    <xf numFmtId="0" fontId="8" fillId="11" borderId="0" xfId="1" applyFont="1" applyFill="1" applyAlignment="1">
      <alignment horizontal="center" vertical="center" wrapText="1"/>
    </xf>
    <xf numFmtId="0" fontId="8" fillId="11" borderId="6" xfId="1" applyFont="1" applyFill="1" applyBorder="1" applyAlignment="1">
      <alignment horizontal="center" vertical="center" wrapText="1"/>
    </xf>
    <xf numFmtId="0" fontId="8" fillId="11" borderId="0" xfId="1" applyFont="1" applyFill="1" applyBorder="1" applyAlignment="1">
      <alignment horizontal="center" vertical="center" wrapText="1"/>
    </xf>
    <xf numFmtId="0" fontId="8" fillId="12" borderId="0" xfId="1" applyFont="1" applyFill="1" applyBorder="1" applyAlignment="1">
      <alignment horizontal="center" vertical="center" wrapText="1"/>
    </xf>
    <xf numFmtId="0" fontId="8" fillId="12" borderId="0" xfId="1" applyFont="1" applyFill="1" applyAlignment="1">
      <alignment horizontal="center" vertical="center" wrapText="1"/>
    </xf>
    <xf numFmtId="0" fontId="8" fillId="12" borderId="6" xfId="1" applyFont="1" applyFill="1" applyBorder="1" applyAlignment="1">
      <alignment horizontal="center" vertical="center" wrapText="1"/>
    </xf>
    <xf numFmtId="0" fontId="7" fillId="14" borderId="0" xfId="1" applyFont="1" applyFill="1" applyAlignment="1">
      <alignment horizontal="center" vertical="center" wrapText="1"/>
    </xf>
    <xf numFmtId="0" fontId="7" fillId="14" borderId="0" xfId="1" applyFont="1" applyFill="1" applyBorder="1" applyAlignment="1">
      <alignment horizontal="center" vertical="center" wrapText="1"/>
    </xf>
    <xf numFmtId="0" fontId="7" fillId="14" borderId="6" xfId="1" applyFont="1" applyFill="1" applyBorder="1" applyAlignment="1">
      <alignment horizontal="center" vertical="center" wrapText="1"/>
    </xf>
    <xf numFmtId="0" fontId="7" fillId="11" borderId="0" xfId="1" applyFont="1" applyFill="1" applyAlignment="1">
      <alignment horizontal="center" vertical="center" wrapText="1"/>
    </xf>
    <xf numFmtId="0" fontId="7" fillId="12" borderId="0" xfId="1" applyFont="1" applyFill="1" applyAlignment="1">
      <alignment horizontal="center" vertical="center" wrapText="1"/>
    </xf>
    <xf numFmtId="0" fontId="7" fillId="4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7" fillId="8" borderId="0" xfId="1" applyFont="1" applyFill="1" applyBorder="1" applyAlignment="1">
      <alignment horizontal="center" vertical="center" wrapText="1"/>
    </xf>
    <xf numFmtId="0" fontId="63" fillId="27" borderId="0" xfId="1" applyFont="1" applyFill="1" applyAlignment="1">
      <alignment horizontal="center" vertical="center" wrapText="1"/>
    </xf>
    <xf numFmtId="0" fontId="63" fillId="27" borderId="10" xfId="1" applyFont="1" applyFill="1" applyBorder="1" applyAlignment="1">
      <alignment horizontal="center" vertical="center" wrapText="1"/>
    </xf>
    <xf numFmtId="10" fontId="64" fillId="27" borderId="0" xfId="2" applyNumberFormat="1" applyFont="1" applyFill="1" applyBorder="1" applyAlignment="1">
      <alignment horizontal="center" vertical="center" wrapText="1"/>
    </xf>
    <xf numFmtId="1" fontId="64" fillId="27" borderId="0" xfId="1" applyNumberFormat="1" applyFont="1" applyFill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left" wrapText="1"/>
    </xf>
    <xf numFmtId="0" fontId="14" fillId="28" borderId="0" xfId="1" applyFont="1" applyFill="1" applyAlignment="1">
      <alignment horizontal="center" vertical="center" wrapText="1"/>
    </xf>
    <xf numFmtId="0" fontId="7" fillId="28" borderId="0" xfId="1" applyFont="1" applyFill="1" applyAlignment="1">
      <alignment horizontal="center" vertical="center" wrapText="1"/>
    </xf>
    <xf numFmtId="0" fontId="44" fillId="28" borderId="0" xfId="1" applyFont="1" applyFill="1" applyAlignment="1">
      <alignment horizontal="center" vertical="center" wrapText="1"/>
    </xf>
    <xf numFmtId="0" fontId="7" fillId="28" borderId="0" xfId="1" applyFont="1" applyFill="1" applyBorder="1" applyAlignment="1">
      <alignment horizontal="center" vertical="center" wrapText="1"/>
    </xf>
    <xf numFmtId="0" fontId="7" fillId="28" borderId="6" xfId="1" applyFont="1" applyFill="1" applyBorder="1" applyAlignment="1">
      <alignment horizontal="center" vertical="center" wrapText="1"/>
    </xf>
    <xf numFmtId="0" fontId="44" fillId="28" borderId="0" xfId="1" applyFont="1" applyFill="1" applyBorder="1" applyAlignment="1">
      <alignment horizontal="center" vertical="center" wrapText="1"/>
    </xf>
    <xf numFmtId="0" fontId="42" fillId="28" borderId="10" xfId="1" applyFont="1" applyFill="1" applyBorder="1" applyAlignment="1">
      <alignment horizontal="center" vertical="center" wrapText="1"/>
    </xf>
    <xf numFmtId="2" fontId="22" fillId="28" borderId="0" xfId="1" applyNumberFormat="1" applyFont="1" applyFill="1" applyAlignment="1">
      <alignment horizontal="center" vertical="center" wrapText="1"/>
    </xf>
    <xf numFmtId="1" fontId="46" fillId="28" borderId="0" xfId="1" applyNumberFormat="1" applyFill="1" applyAlignment="1">
      <alignment horizontal="center" vertical="center" wrapText="1"/>
    </xf>
    <xf numFmtId="165" fontId="46" fillId="28" borderId="0" xfId="1" applyNumberFormat="1" applyFill="1" applyAlignment="1">
      <alignment horizontal="center" vertical="center" wrapText="1"/>
    </xf>
    <xf numFmtId="0" fontId="22" fillId="28" borderId="0" xfId="1" applyFont="1" applyFill="1" applyAlignment="1">
      <alignment horizontal="center" vertical="center" wrapText="1"/>
    </xf>
    <xf numFmtId="0" fontId="43" fillId="28" borderId="0" xfId="1" applyFont="1" applyFill="1" applyAlignment="1">
      <alignment horizontal="center" vertical="center" wrapText="1"/>
    </xf>
    <xf numFmtId="0" fontId="14" fillId="28" borderId="0" xfId="1" applyFont="1" applyFill="1" applyBorder="1" applyAlignment="1">
      <alignment horizontal="center" vertical="center" wrapText="1"/>
    </xf>
    <xf numFmtId="0" fontId="42" fillId="28" borderId="6" xfId="1" applyFont="1" applyFill="1" applyBorder="1" applyAlignment="1">
      <alignment horizontal="center" vertical="center" wrapText="1"/>
    </xf>
    <xf numFmtId="2" fontId="0" fillId="28" borderId="0" xfId="0" applyNumberFormat="1" applyFill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0" fontId="7" fillId="27" borderId="8" xfId="1" applyFont="1" applyFill="1" applyBorder="1" applyAlignment="1">
      <alignment horizontal="center" vertical="center" wrapText="1"/>
    </xf>
    <xf numFmtId="0" fontId="6" fillId="28" borderId="0" xfId="1" applyFont="1" applyFill="1" applyAlignment="1">
      <alignment horizontal="center" vertical="center" wrapText="1"/>
    </xf>
    <xf numFmtId="0" fontId="63" fillId="27" borderId="0" xfId="1" applyFont="1" applyFill="1" applyBorder="1" applyAlignment="1">
      <alignment horizontal="center" vertical="center" wrapText="1"/>
    </xf>
    <xf numFmtId="0" fontId="5" fillId="10" borderId="0" xfId="1" applyFont="1" applyFill="1" applyAlignment="1">
      <alignment horizontal="center" vertical="center" wrapText="1"/>
    </xf>
    <xf numFmtId="0" fontId="5" fillId="10" borderId="0" xfId="1" applyFont="1" applyFill="1" applyBorder="1" applyAlignment="1">
      <alignment horizontal="center" vertical="center" wrapText="1"/>
    </xf>
    <xf numFmtId="0" fontId="5" fillId="10" borderId="6" xfId="1" applyFont="1" applyFill="1" applyBorder="1" applyAlignment="1">
      <alignment horizontal="center" vertical="center" wrapText="1"/>
    </xf>
    <xf numFmtId="0" fontId="5" fillId="14" borderId="6" xfId="1" applyFont="1" applyFill="1" applyBorder="1" applyAlignment="1">
      <alignment horizontal="center" vertical="center" wrapText="1"/>
    </xf>
    <xf numFmtId="0" fontId="5" fillId="11" borderId="0" xfId="1" applyFont="1" applyFill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left" vertical="center" wrapText="1"/>
    </xf>
    <xf numFmtId="0" fontId="5" fillId="14" borderId="0" xfId="1" applyFont="1" applyFill="1" applyAlignment="1">
      <alignment horizontal="center" vertical="center" wrapText="1"/>
    </xf>
    <xf numFmtId="0" fontId="5" fillId="27" borderId="8" xfId="1" applyFont="1" applyFill="1" applyBorder="1" applyAlignment="1">
      <alignment horizontal="center" vertical="center" wrapText="1"/>
    </xf>
    <xf numFmtId="0" fontId="5" fillId="11" borderId="6" xfId="1" applyFont="1" applyFill="1" applyBorder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5" fillId="11" borderId="0" xfId="1" applyFont="1" applyFill="1" applyBorder="1" applyAlignment="1">
      <alignment horizontal="center" vertical="center" wrapText="1"/>
    </xf>
    <xf numFmtId="0" fontId="5" fillId="12" borderId="0" xfId="1" applyFont="1" applyFill="1" applyBorder="1" applyAlignment="1">
      <alignment horizontal="center" vertical="center" wrapText="1"/>
    </xf>
    <xf numFmtId="0" fontId="5" fillId="12" borderId="0" xfId="1" applyFont="1" applyFill="1" applyAlignment="1">
      <alignment horizontal="center" vertical="center" wrapText="1"/>
    </xf>
    <xf numFmtId="0" fontId="5" fillId="12" borderId="6" xfId="1" applyFont="1" applyFill="1" applyBorder="1" applyAlignment="1">
      <alignment horizontal="center" vertical="center" wrapText="1"/>
    </xf>
    <xf numFmtId="0" fontId="5" fillId="27" borderId="0" xfId="1" applyFont="1" applyFill="1" applyBorder="1" applyAlignment="1">
      <alignment horizontal="center" vertical="center" wrapText="1"/>
    </xf>
    <xf numFmtId="0" fontId="5" fillId="27" borderId="0" xfId="1" applyFont="1" applyFill="1" applyAlignment="1">
      <alignment horizontal="center" vertical="center" wrapText="1"/>
    </xf>
    <xf numFmtId="0" fontId="5" fillId="25" borderId="0" xfId="1" applyFont="1" applyFill="1" applyBorder="1" applyAlignment="1">
      <alignment horizontal="center" vertical="center" wrapText="1"/>
    </xf>
    <xf numFmtId="0" fontId="5" fillId="25" borderId="0" xfId="1" applyFont="1" applyFill="1" applyAlignment="1">
      <alignment horizontal="center" vertical="center" wrapText="1"/>
    </xf>
    <xf numFmtId="0" fontId="5" fillId="25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19" fillId="2" borderId="6" xfId="1" applyFont="1" applyFill="1" applyBorder="1" applyAlignment="1">
      <alignment horizontal="center" vertical="center" wrapText="1"/>
    </xf>
    <xf numFmtId="0" fontId="5" fillId="14" borderId="0" xfId="1" applyFont="1" applyFill="1" applyBorder="1" applyAlignment="1">
      <alignment horizontal="center" vertical="center" wrapText="1"/>
    </xf>
    <xf numFmtId="0" fontId="5" fillId="28" borderId="0" xfId="1" applyFont="1" applyFill="1" applyAlignment="1">
      <alignment horizontal="center" vertical="center" wrapText="1"/>
    </xf>
    <xf numFmtId="0" fontId="5" fillId="28" borderId="0" xfId="1" applyFont="1" applyFill="1" applyBorder="1" applyAlignment="1">
      <alignment horizontal="center" vertical="center" wrapText="1"/>
    </xf>
    <xf numFmtId="0" fontId="5" fillId="28" borderId="6" xfId="1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5" fillId="30" borderId="0" xfId="1" applyFont="1" applyFill="1" applyAlignment="1">
      <alignment horizontal="center" vertical="center" wrapText="1"/>
    </xf>
    <xf numFmtId="0" fontId="4" fillId="30" borderId="0" xfId="1" applyFont="1" applyFill="1" applyBorder="1" applyAlignment="1">
      <alignment horizontal="center" vertical="center" wrapText="1"/>
    </xf>
    <xf numFmtId="0" fontId="4" fillId="30" borderId="0" xfId="1" applyFont="1" applyFill="1" applyAlignment="1">
      <alignment horizontal="center" vertical="center" wrapText="1"/>
    </xf>
    <xf numFmtId="0" fontId="4" fillId="30" borderId="6" xfId="1" applyFont="1" applyFill="1" applyBorder="1" applyAlignment="1">
      <alignment horizontal="center" vertical="center" wrapText="1"/>
    </xf>
    <xf numFmtId="0" fontId="4" fillId="28" borderId="0" xfId="1" applyFont="1" applyFill="1" applyBorder="1" applyAlignment="1">
      <alignment horizontal="center" vertical="center" wrapText="1"/>
    </xf>
    <xf numFmtId="0" fontId="4" fillId="28" borderId="0" xfId="1" applyFont="1" applyFill="1" applyAlignment="1">
      <alignment horizontal="center" vertical="center" wrapText="1"/>
    </xf>
    <xf numFmtId="0" fontId="4" fillId="11" borderId="0" xfId="1" applyFont="1" applyFill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0" xfId="1" applyFont="1" applyFill="1" applyBorder="1" applyAlignment="1">
      <alignment horizontal="center" vertical="center" wrapText="1"/>
    </xf>
    <xf numFmtId="0" fontId="3" fillId="10" borderId="6" xfId="1" applyFont="1" applyFill="1" applyBorder="1" applyAlignment="1">
      <alignment horizontal="center" vertical="center" wrapText="1"/>
    </xf>
    <xf numFmtId="0" fontId="3" fillId="30" borderId="0" xfId="1" applyFont="1" applyFill="1" applyAlignment="1">
      <alignment horizontal="center" vertical="center" wrapText="1"/>
    </xf>
    <xf numFmtId="0" fontId="3" fillId="30" borderId="6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28" borderId="0" xfId="1" applyFont="1" applyFill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27" borderId="0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27" borderId="6" xfId="1" applyFont="1" applyFill="1" applyBorder="1" applyAlignment="1">
      <alignment horizontal="center" vertical="center" wrapText="1"/>
    </xf>
    <xf numFmtId="0" fontId="3" fillId="27" borderId="0" xfId="1" applyFont="1" applyFill="1" applyAlignment="1">
      <alignment horizontal="center" vertical="center" wrapText="1"/>
    </xf>
    <xf numFmtId="0" fontId="3" fillId="28" borderId="6" xfId="1" applyFont="1" applyFill="1" applyBorder="1" applyAlignment="1">
      <alignment horizontal="center" vertical="center" wrapText="1"/>
    </xf>
    <xf numFmtId="0" fontId="3" fillId="26" borderId="0" xfId="1" applyFont="1" applyFill="1" applyAlignment="1">
      <alignment horizontal="center" vertical="center" wrapText="1"/>
    </xf>
    <xf numFmtId="0" fontId="3" fillId="26" borderId="0" xfId="1" applyFont="1" applyFill="1" applyBorder="1" applyAlignment="1">
      <alignment horizontal="center" vertical="center" wrapText="1"/>
    </xf>
    <xf numFmtId="0" fontId="3" fillId="26" borderId="6" xfId="1" applyFont="1" applyFill="1" applyBorder="1" applyAlignment="1">
      <alignment horizontal="center" vertical="center" wrapText="1"/>
    </xf>
    <xf numFmtId="0" fontId="3" fillId="12" borderId="6" xfId="1" applyFont="1" applyFill="1" applyBorder="1" applyAlignment="1">
      <alignment horizontal="center" vertical="center" wrapText="1"/>
    </xf>
    <xf numFmtId="0" fontId="2" fillId="26" borderId="0" xfId="1" applyFont="1" applyFill="1" applyAlignment="1">
      <alignment horizontal="center" vertical="center" wrapText="1"/>
    </xf>
    <xf numFmtId="0" fontId="2" fillId="26" borderId="0" xfId="1" applyFont="1" applyFill="1" applyBorder="1" applyAlignment="1">
      <alignment horizontal="center" vertical="center" wrapText="1"/>
    </xf>
    <xf numFmtId="0" fontId="2" fillId="26" borderId="6" xfId="1" applyFont="1" applyFill="1" applyBorder="1" applyAlignment="1">
      <alignment horizontal="center" vertical="center" wrapText="1"/>
    </xf>
    <xf numFmtId="0" fontId="2" fillId="14" borderId="0" xfId="1" applyFont="1" applyFill="1" applyAlignment="1">
      <alignment horizontal="center" vertical="center" wrapText="1"/>
    </xf>
    <xf numFmtId="0" fontId="2" fillId="11" borderId="0" xfId="1" applyFont="1" applyFill="1" applyAlignment="1">
      <alignment horizontal="center" vertical="center" wrapText="1"/>
    </xf>
    <xf numFmtId="0" fontId="2" fillId="19" borderId="0" xfId="1" applyFont="1" applyFill="1" applyAlignment="1">
      <alignment horizontal="center" vertical="center" wrapText="1"/>
    </xf>
    <xf numFmtId="0" fontId="2" fillId="22" borderId="0" xfId="1" applyFont="1" applyFill="1" applyAlignment="1">
      <alignment horizontal="center" vertical="center" wrapText="1"/>
    </xf>
    <xf numFmtId="0" fontId="2" fillId="16" borderId="0" xfId="1" applyFont="1" applyFill="1" applyAlignment="1">
      <alignment horizontal="center" vertical="center" wrapText="1"/>
    </xf>
    <xf numFmtId="0" fontId="2" fillId="4" borderId="0" xfId="1" applyFont="1" applyFill="1" applyAlignment="1">
      <alignment horizontal="center" vertical="center" wrapText="1"/>
    </xf>
    <xf numFmtId="0" fontId="2" fillId="15" borderId="0" xfId="1" applyFont="1" applyFill="1" applyAlignment="1">
      <alignment horizontal="center" vertical="center" wrapText="1"/>
    </xf>
    <xf numFmtId="0" fontId="2" fillId="17" borderId="0" xfId="1" applyFont="1" applyFill="1" applyAlignment="1">
      <alignment horizontal="center" vertical="center" wrapText="1"/>
    </xf>
    <xf numFmtId="0" fontId="2" fillId="18" borderId="0" xfId="1" applyFont="1" applyFill="1" applyAlignment="1">
      <alignment horizontal="center" vertical="center" wrapText="1"/>
    </xf>
    <xf numFmtId="0" fontId="2" fillId="21" borderId="0" xfId="1" applyFont="1" applyFill="1" applyAlignment="1">
      <alignment horizontal="center" vertical="center" wrapText="1"/>
    </xf>
    <xf numFmtId="0" fontId="2" fillId="2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9" borderId="0" xfId="1" applyFont="1" applyFill="1" applyAlignment="1">
      <alignment horizontal="center" vertical="center" wrapText="1"/>
    </xf>
    <xf numFmtId="0" fontId="2" fillId="30" borderId="0" xfId="1" applyFont="1" applyFill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 wrapText="1"/>
    </xf>
    <xf numFmtId="0" fontId="2" fillId="32" borderId="0" xfId="1" applyFont="1" applyFill="1" applyAlignment="1">
      <alignment horizontal="center" vertical="center" wrapText="1"/>
    </xf>
    <xf numFmtId="0" fontId="2" fillId="27" borderId="0" xfId="1" applyFont="1" applyFill="1" applyAlignment="1">
      <alignment horizontal="center" vertical="center" wrapText="1"/>
    </xf>
    <xf numFmtId="0" fontId="2" fillId="27" borderId="6" xfId="1" applyFont="1" applyFill="1" applyBorder="1" applyAlignment="1">
      <alignment horizontal="center" vertical="center" wrapText="1"/>
    </xf>
    <xf numFmtId="0" fontId="2" fillId="27" borderId="10" xfId="1" applyFont="1" applyFill="1" applyBorder="1" applyAlignment="1">
      <alignment horizontal="center" vertical="center" wrapText="1"/>
    </xf>
    <xf numFmtId="0" fontId="0" fillId="10" borderId="0" xfId="1" applyFont="1" applyFill="1" applyAlignment="1">
      <alignment horizontal="center" vertical="center" wrapText="1"/>
    </xf>
    <xf numFmtId="0" fontId="1" fillId="18" borderId="0" xfId="1" applyFont="1" applyFill="1" applyAlignment="1">
      <alignment horizontal="center" vertical="center" wrapText="1"/>
    </xf>
    <xf numFmtId="0" fontId="1" fillId="18" borderId="0" xfId="1" applyFont="1" applyFill="1" applyBorder="1" applyAlignment="1">
      <alignment horizontal="center" vertical="center" wrapText="1"/>
    </xf>
    <xf numFmtId="0" fontId="1" fillId="18" borderId="6" xfId="1" applyFont="1" applyFill="1" applyBorder="1" applyAlignment="1">
      <alignment horizontal="center" vertical="center" wrapText="1"/>
    </xf>
    <xf numFmtId="0" fontId="1" fillId="4" borderId="6" xfId="1" applyFont="1" applyFill="1" applyBorder="1" applyAlignment="1">
      <alignment horizontal="center" vertical="center" wrapText="1"/>
    </xf>
    <xf numFmtId="0" fontId="1" fillId="26" borderId="0" xfId="1" applyFont="1" applyFill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left" vertical="center" wrapText="1"/>
    </xf>
    <xf numFmtId="0" fontId="1" fillId="11" borderId="6" xfId="1" applyFont="1" applyFill="1" applyBorder="1" applyAlignment="1">
      <alignment horizontal="center" vertical="center" wrapText="1"/>
    </xf>
    <xf numFmtId="0" fontId="1" fillId="10" borderId="6" xfId="1" applyFont="1" applyFill="1" applyBorder="1" applyAlignment="1">
      <alignment horizontal="center" vertical="center" wrapText="1"/>
    </xf>
    <xf numFmtId="0" fontId="65" fillId="27" borderId="0" xfId="1" applyFont="1" applyFill="1" applyAlignment="1">
      <alignment horizontal="center" vertical="center" wrapText="1"/>
    </xf>
    <xf numFmtId="0" fontId="65" fillId="27" borderId="6" xfId="1" applyFont="1" applyFill="1" applyBorder="1" applyAlignment="1">
      <alignment horizontal="center" vertical="center" wrapText="1"/>
    </xf>
    <xf numFmtId="0" fontId="65" fillId="27" borderId="10" xfId="1" applyFont="1" applyFill="1" applyBorder="1" applyAlignment="1">
      <alignment horizontal="center" vertical="center" wrapText="1"/>
    </xf>
    <xf numFmtId="10" fontId="66" fillId="27" borderId="0" xfId="2" applyNumberFormat="1" applyFont="1" applyFill="1" applyBorder="1" applyAlignment="1">
      <alignment horizontal="center" vertical="center" wrapText="1"/>
    </xf>
    <xf numFmtId="1" fontId="66" fillId="27" borderId="0" xfId="1" applyNumberFormat="1" applyFont="1" applyFill="1" applyAlignment="1">
      <alignment horizontal="center" vertical="center" wrapText="1"/>
    </xf>
    <xf numFmtId="0" fontId="65" fillId="15" borderId="0" xfId="1" applyFont="1" applyFill="1" applyAlignment="1">
      <alignment horizontal="center" vertical="center" wrapText="1"/>
    </xf>
    <xf numFmtId="0" fontId="1" fillId="15" borderId="0" xfId="1" applyFont="1" applyFill="1" applyAlignment="1">
      <alignment horizontal="center" vertical="center" wrapText="1"/>
    </xf>
    <xf numFmtId="0" fontId="1" fillId="13" borderId="0" xfId="1" applyFont="1" applyFill="1" applyAlignment="1">
      <alignment horizontal="center" vertical="center" wrapText="1"/>
    </xf>
    <xf numFmtId="0" fontId="1" fillId="16" borderId="0" xfId="1" applyFont="1" applyFill="1" applyAlignment="1">
      <alignment horizontal="center" vertical="center" wrapText="1"/>
    </xf>
    <xf numFmtId="0" fontId="1" fillId="17" borderId="0" xfId="1" applyFont="1" applyFill="1" applyAlignment="1">
      <alignment horizontal="center" vertical="center" wrapText="1"/>
    </xf>
    <xf numFmtId="0" fontId="1" fillId="9" borderId="0" xfId="1" applyFont="1" applyFill="1" applyAlignment="1">
      <alignment horizontal="center" vertical="center" wrapText="1"/>
    </xf>
    <xf numFmtId="0" fontId="1" fillId="4" borderId="0" xfId="1" applyFont="1" applyFill="1" applyAlignment="1">
      <alignment horizontal="center" vertical="center" wrapText="1"/>
    </xf>
    <xf numFmtId="0" fontId="1" fillId="19" borderId="0" xfId="1" applyFont="1" applyFill="1" applyAlignment="1">
      <alignment horizontal="center" vertical="center" wrapText="1"/>
    </xf>
    <xf numFmtId="0" fontId="1" fillId="20" borderId="0" xfId="1" applyFont="1" applyFill="1" applyAlignment="1">
      <alignment horizontal="center" vertical="center" wrapText="1"/>
    </xf>
    <xf numFmtId="0" fontId="1" fillId="21" borderId="0" xfId="1" applyFont="1" applyFill="1" applyAlignment="1">
      <alignment horizontal="center" vertical="center" wrapText="1"/>
    </xf>
    <xf numFmtId="0" fontId="1" fillId="22" borderId="0" xfId="1" applyFont="1" applyFill="1" applyAlignment="1">
      <alignment horizontal="center" vertical="center" wrapText="1"/>
    </xf>
    <xf numFmtId="0" fontId="1" fillId="24" borderId="0" xfId="1" applyFont="1" applyFill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1" fillId="29" borderId="0" xfId="1" applyFont="1" applyFill="1" applyAlignment="1">
      <alignment horizontal="center" vertical="center" wrapText="1"/>
    </xf>
    <xf numFmtId="0" fontId="46" fillId="7" borderId="0" xfId="1" applyNumberFormat="1" applyFill="1" applyAlignment="1">
      <alignment horizontal="center" vertical="center" wrapText="1"/>
    </xf>
    <xf numFmtId="0" fontId="46" fillId="8" borderId="0" xfId="1" applyNumberFormat="1" applyFill="1" applyAlignment="1">
      <alignment horizontal="center" vertical="center" wrapText="1"/>
    </xf>
    <xf numFmtId="0" fontId="46" fillId="8" borderId="0" xfId="1" applyNumberFormat="1" applyFill="1" applyBorder="1" applyAlignment="1">
      <alignment horizontal="center" vertical="center" wrapText="1"/>
    </xf>
    <xf numFmtId="0" fontId="46" fillId="4" borderId="0" xfId="1" applyNumberFormat="1" applyFill="1" applyAlignment="1">
      <alignment horizontal="center" vertical="center" wrapText="1"/>
    </xf>
    <xf numFmtId="0" fontId="46" fillId="11" borderId="0" xfId="1" applyNumberFormat="1" applyFill="1" applyAlignment="1">
      <alignment horizontal="center" vertical="center" wrapText="1"/>
    </xf>
    <xf numFmtId="0" fontId="46" fillId="12" borderId="0" xfId="1" applyNumberFormat="1" applyFill="1" applyAlignment="1">
      <alignment horizontal="center" vertical="center" wrapText="1"/>
    </xf>
    <xf numFmtId="0" fontId="46" fillId="14" borderId="0" xfId="1" applyNumberFormat="1" applyFill="1" applyAlignment="1">
      <alignment horizontal="center" vertical="center" wrapText="1"/>
    </xf>
    <xf numFmtId="0" fontId="46" fillId="10" borderId="0" xfId="1" applyNumberFormat="1" applyFill="1" applyAlignment="1">
      <alignment horizontal="center" vertical="center" wrapText="1"/>
    </xf>
    <xf numFmtId="0" fontId="46" fillId="15" borderId="0" xfId="1" applyNumberFormat="1" applyFill="1" applyAlignment="1">
      <alignment horizontal="center" vertical="center" wrapText="1"/>
    </xf>
    <xf numFmtId="0" fontId="46" fillId="13" borderId="0" xfId="1" applyNumberFormat="1" applyFill="1" applyAlignment="1">
      <alignment horizontal="center" vertical="center" wrapText="1"/>
    </xf>
    <xf numFmtId="0" fontId="46" fillId="16" borderId="0" xfId="1" applyNumberFormat="1" applyFill="1" applyAlignment="1">
      <alignment horizontal="center" vertical="center" wrapText="1"/>
    </xf>
    <xf numFmtId="0" fontId="46" fillId="17" borderId="0" xfId="1" applyNumberFormat="1" applyFill="1" applyAlignment="1">
      <alignment horizontal="center" vertical="center" wrapText="1"/>
    </xf>
    <xf numFmtId="0" fontId="46" fillId="18" borderId="0" xfId="1" applyNumberFormat="1" applyFill="1" applyAlignment="1">
      <alignment horizontal="center" vertical="center" wrapText="1"/>
    </xf>
    <xf numFmtId="0" fontId="14" fillId="18" borderId="0" xfId="1" applyNumberFormat="1" applyFont="1" applyFill="1" applyAlignment="1">
      <alignment horizontal="center" vertical="center" wrapText="1"/>
    </xf>
    <xf numFmtId="0" fontId="46" fillId="9" borderId="0" xfId="1" applyNumberFormat="1" applyFill="1" applyAlignment="1">
      <alignment horizontal="center" vertical="center" wrapText="1"/>
    </xf>
    <xf numFmtId="0" fontId="46" fillId="19" borderId="0" xfId="1" applyNumberFormat="1" applyFill="1" applyAlignment="1">
      <alignment horizontal="center" vertical="center" wrapText="1"/>
    </xf>
    <xf numFmtId="0" fontId="46" fillId="20" borderId="0" xfId="1" applyNumberFormat="1" applyFill="1" applyAlignment="1">
      <alignment horizontal="center" vertical="center" wrapText="1"/>
    </xf>
    <xf numFmtId="0" fontId="46" fillId="26" borderId="0" xfId="1" applyNumberFormat="1" applyFill="1" applyAlignment="1">
      <alignment horizontal="center" vertical="center" wrapText="1"/>
    </xf>
    <xf numFmtId="0" fontId="46" fillId="21" borderId="0" xfId="1" applyNumberFormat="1" applyFill="1" applyAlignment="1">
      <alignment horizontal="center" vertical="center" wrapText="1"/>
    </xf>
    <xf numFmtId="0" fontId="46" fillId="22" borderId="0" xfId="1" applyNumberFormat="1" applyFill="1" applyAlignment="1">
      <alignment horizontal="center" vertical="center" wrapText="1"/>
    </xf>
    <xf numFmtId="0" fontId="46" fillId="24" borderId="0" xfId="1" applyNumberFormat="1" applyFill="1" applyAlignment="1">
      <alignment horizontal="center" vertical="center" wrapText="1"/>
    </xf>
    <xf numFmtId="0" fontId="46" fillId="15" borderId="0" xfId="1" applyNumberFormat="1" applyFill="1" applyBorder="1" applyAlignment="1">
      <alignment horizontal="center" vertical="center" wrapText="1"/>
    </xf>
    <xf numFmtId="0" fontId="14" fillId="15" borderId="0" xfId="1" applyNumberFormat="1" applyFont="1" applyFill="1" applyAlignment="1">
      <alignment horizontal="center" vertical="center" wrapText="1"/>
    </xf>
    <xf numFmtId="0" fontId="46" fillId="2" borderId="0" xfId="1" applyNumberFormat="1" applyFill="1" applyAlignment="1">
      <alignment horizontal="center" vertical="center" wrapText="1"/>
    </xf>
    <xf numFmtId="0" fontId="14" fillId="2" borderId="0" xfId="1" applyNumberFormat="1" applyFont="1" applyFill="1" applyAlignment="1">
      <alignment horizontal="center" vertical="center" wrapText="1"/>
    </xf>
    <xf numFmtId="0" fontId="46" fillId="25" borderId="0" xfId="1" applyNumberFormat="1" applyFill="1" applyAlignment="1">
      <alignment horizontal="center" vertical="center" wrapText="1"/>
    </xf>
    <xf numFmtId="0" fontId="46" fillId="29" borderId="0" xfId="1" applyNumberFormat="1" applyFill="1" applyAlignment="1">
      <alignment horizontal="center" vertical="center" wrapText="1"/>
    </xf>
    <xf numFmtId="0" fontId="46" fillId="28" borderId="0" xfId="1" applyNumberFormat="1" applyFill="1" applyAlignment="1">
      <alignment horizontal="center" vertical="center" wrapText="1"/>
    </xf>
    <xf numFmtId="0" fontId="46" fillId="28" borderId="0" xfId="1" applyNumberFormat="1" applyFill="1" applyBorder="1" applyAlignment="1">
      <alignment horizontal="center" vertical="center" wrapText="1"/>
    </xf>
    <xf numFmtId="0" fontId="46" fillId="30" borderId="0" xfId="1" applyNumberFormat="1" applyFill="1" applyAlignment="1">
      <alignment horizontal="center" vertical="center" wrapText="1"/>
    </xf>
    <xf numFmtId="0" fontId="46" fillId="10" borderId="0" xfId="1" applyNumberFormat="1" applyFill="1" applyBorder="1" applyAlignment="1">
      <alignment horizontal="center" vertical="center" wrapText="1"/>
    </xf>
    <xf numFmtId="0" fontId="46" fillId="32" borderId="0" xfId="1" applyNumberFormat="1" applyFill="1" applyAlignment="1">
      <alignment horizontal="center" vertical="center" wrapText="1"/>
    </xf>
    <xf numFmtId="0" fontId="35" fillId="32" borderId="0" xfId="1" applyNumberFormat="1" applyFont="1" applyFill="1" applyAlignment="1">
      <alignment horizontal="center" vertical="center" wrapText="1"/>
    </xf>
    <xf numFmtId="0" fontId="0" fillId="27" borderId="0" xfId="0" applyNumberFormat="1" applyFill="1" applyAlignment="1">
      <alignment horizontal="center" vertical="center" wrapText="1"/>
    </xf>
    <xf numFmtId="0" fontId="46" fillId="27" borderId="0" xfId="1" applyNumberFormat="1" applyFill="1" applyAlignment="1">
      <alignment horizontal="center" vertical="center" wrapText="1"/>
    </xf>
    <xf numFmtId="0" fontId="46" fillId="27" borderId="0" xfId="1" applyNumberFormat="1" applyFill="1" applyBorder="1" applyAlignment="1">
      <alignment horizontal="center" vertical="center" wrapText="1"/>
    </xf>
    <xf numFmtId="0" fontId="46" fillId="27" borderId="8" xfId="1" applyNumberFormat="1" applyFill="1" applyBorder="1" applyAlignment="1">
      <alignment horizontal="center" vertical="center" wrapText="1"/>
    </xf>
    <xf numFmtId="0" fontId="14" fillId="28" borderId="0" xfId="1" applyNumberFormat="1" applyFont="1" applyFill="1" applyAlignment="1">
      <alignment horizontal="center" vertical="center" wrapText="1"/>
    </xf>
    <xf numFmtId="0" fontId="46" fillId="0" borderId="0" xfId="1" applyNumberFormat="1" applyFill="1" applyAlignment="1">
      <alignment horizontal="center" vertical="center" wrapText="1"/>
    </xf>
    <xf numFmtId="0" fontId="46" fillId="0" borderId="0" xfId="1" applyNumberFormat="1" applyFill="1" applyBorder="1" applyAlignment="1">
      <alignment horizontal="center" vertical="center" wrapText="1"/>
    </xf>
    <xf numFmtId="0" fontId="22" fillId="0" borderId="0" xfId="1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4" fillId="0" borderId="0" xfId="1" applyNumberFormat="1" applyFont="1" applyFill="1" applyAlignment="1">
      <alignment horizontal="center" vertical="center" wrapText="1"/>
    </xf>
    <xf numFmtId="0" fontId="22" fillId="15" borderId="0" xfId="1" applyNumberFormat="1" applyFont="1" applyFill="1" applyAlignment="1">
      <alignment horizontal="center" vertical="center" wrapText="1"/>
    </xf>
    <xf numFmtId="0" fontId="46" fillId="0" borderId="8" xfId="1" applyNumberFormat="1" applyFill="1" applyBorder="1" applyAlignment="1">
      <alignment horizontal="center" vertical="center" wrapText="1"/>
    </xf>
    <xf numFmtId="0" fontId="22" fillId="28" borderId="0" xfId="1" applyNumberFormat="1" applyFont="1" applyFill="1" applyAlignment="1">
      <alignment horizontal="center" vertical="center" wrapText="1"/>
    </xf>
    <xf numFmtId="0" fontId="15" fillId="15" borderId="0" xfId="1" applyNumberFormat="1" applyFont="1" applyFill="1" applyAlignment="1">
      <alignment horizontal="center" vertical="center" wrapText="1"/>
    </xf>
    <xf numFmtId="0" fontId="46" fillId="0" borderId="0" xfId="1" applyNumberFormat="1" applyAlignment="1">
      <alignment horizontal="center" vertical="center" wrapText="1"/>
    </xf>
    <xf numFmtId="0" fontId="67" fillId="31" borderId="0" xfId="1" applyFont="1" applyFill="1" applyAlignment="1">
      <alignment horizontal="center" vertical="center" wrapText="1"/>
    </xf>
    <xf numFmtId="10" fontId="67" fillId="31" borderId="0" xfId="2" applyNumberFormat="1" applyFont="1" applyFill="1" applyBorder="1" applyAlignment="1">
      <alignment horizontal="center" vertical="center" wrapText="1"/>
    </xf>
    <xf numFmtId="1" fontId="67" fillId="31" borderId="0" xfId="1" applyNumberFormat="1" applyFont="1" applyFill="1" applyBorder="1" applyAlignment="1">
      <alignment horizontal="center" vertical="center" wrapText="1"/>
    </xf>
    <xf numFmtId="1" fontId="67" fillId="31" borderId="0" xfId="1" applyNumberFormat="1" applyFont="1" applyFill="1" applyAlignment="1">
      <alignment horizontal="center" vertical="center" wrapText="1"/>
    </xf>
    <xf numFmtId="0" fontId="67" fillId="31" borderId="0" xfId="1" applyFont="1" applyFill="1" applyBorder="1" applyAlignment="1">
      <alignment horizontal="center" vertical="center" wrapText="1"/>
    </xf>
    <xf numFmtId="0" fontId="67" fillId="31" borderId="6" xfId="1" applyFont="1" applyFill="1" applyBorder="1" applyAlignment="1">
      <alignment horizontal="center" vertical="center" wrapText="1"/>
    </xf>
    <xf numFmtId="0" fontId="67" fillId="31" borderId="10" xfId="1" applyFont="1" applyFill="1" applyBorder="1" applyAlignment="1">
      <alignment horizontal="center" vertical="center" wrapText="1"/>
    </xf>
    <xf numFmtId="2" fontId="67" fillId="0" borderId="0" xfId="1" applyNumberFormat="1" applyFont="1" applyFill="1" applyAlignment="1">
      <alignment horizontal="center" vertical="center" wrapText="1"/>
    </xf>
    <xf numFmtId="2" fontId="68" fillId="0" borderId="0" xfId="1" applyNumberFormat="1" applyFont="1" applyFill="1" applyAlignment="1">
      <alignment horizontal="center" vertical="center" wrapText="1"/>
    </xf>
    <xf numFmtId="165" fontId="68" fillId="0" borderId="0" xfId="1" applyNumberFormat="1" applyFont="1" applyFill="1" applyAlignment="1">
      <alignment horizontal="center" vertical="center" wrapText="1"/>
    </xf>
    <xf numFmtId="2" fontId="69" fillId="0" borderId="0" xfId="1" applyNumberFormat="1" applyFont="1" applyFill="1" applyAlignment="1">
      <alignment horizontal="center" vertical="center" wrapText="1"/>
    </xf>
    <xf numFmtId="2" fontId="70" fillId="0" borderId="0" xfId="1" applyNumberFormat="1" applyFont="1" applyFill="1" applyAlignment="1">
      <alignment horizontal="center" vertical="center" wrapText="1"/>
    </xf>
    <xf numFmtId="2" fontId="71" fillId="0" borderId="0" xfId="1" applyNumberFormat="1" applyFont="1" applyFill="1" applyAlignment="1">
      <alignment horizontal="center" vertical="center" wrapText="1"/>
    </xf>
    <xf numFmtId="2" fontId="72" fillId="0" borderId="0" xfId="1" applyNumberFormat="1" applyFont="1" applyFill="1" applyAlignment="1">
      <alignment horizontal="center" vertical="center" wrapText="1"/>
    </xf>
    <xf numFmtId="0" fontId="67" fillId="0" borderId="0" xfId="1" applyNumberFormat="1" applyFont="1" applyFill="1" applyAlignment="1">
      <alignment horizontal="center" vertical="center" wrapText="1"/>
    </xf>
    <xf numFmtId="2" fontId="67" fillId="31" borderId="0" xfId="1" applyNumberFormat="1" applyFont="1" applyFill="1" applyAlignment="1">
      <alignment horizontal="center" vertical="center" wrapText="1"/>
    </xf>
    <xf numFmtId="0" fontId="67" fillId="31" borderId="0" xfId="1" applyNumberFormat="1" applyFont="1" applyFill="1" applyAlignment="1">
      <alignment horizontal="center" vertical="center" wrapText="1"/>
    </xf>
    <xf numFmtId="0" fontId="73" fillId="0" borderId="0" xfId="1" applyFont="1" applyAlignment="1">
      <alignment horizontal="center" vertical="center" wrapText="1"/>
    </xf>
    <xf numFmtId="0" fontId="1" fillId="10" borderId="0" xfId="1" applyNumberFormat="1" applyFont="1" applyFill="1" applyBorder="1" applyAlignment="1">
      <alignment horizontal="left" wrapText="1"/>
    </xf>
    <xf numFmtId="0" fontId="1" fillId="0" borderId="0" xfId="1" applyNumberFormat="1" applyFont="1" applyFill="1" applyBorder="1" applyAlignment="1">
      <alignment horizontal="left" wrapText="1"/>
    </xf>
    <xf numFmtId="0" fontId="67" fillId="31" borderId="12" xfId="1" applyNumberFormat="1" applyFont="1" applyFill="1" applyBorder="1" applyAlignment="1">
      <alignment horizontal="center" vertical="center" wrapText="1"/>
    </xf>
    <xf numFmtId="0" fontId="67" fillId="31" borderId="16" xfId="1" applyNumberFormat="1" applyFont="1" applyFill="1" applyBorder="1" applyAlignment="1">
      <alignment horizontal="center" vertical="center" wrapText="1"/>
    </xf>
    <xf numFmtId="10" fontId="67" fillId="31" borderId="16" xfId="2" applyNumberFormat="1" applyFont="1" applyFill="1" applyBorder="1" applyAlignment="1">
      <alignment horizontal="center" vertical="center" wrapText="1"/>
    </xf>
    <xf numFmtId="1" fontId="67" fillId="31" borderId="16" xfId="1" applyNumberFormat="1" applyFont="1" applyFill="1" applyBorder="1" applyAlignment="1">
      <alignment horizontal="center" vertical="center" wrapText="1"/>
    </xf>
    <xf numFmtId="0" fontId="67" fillId="31" borderId="17" xfId="1" applyNumberFormat="1" applyFont="1" applyFill="1" applyBorder="1" applyAlignment="1">
      <alignment horizontal="center" vertical="center" wrapText="1"/>
    </xf>
    <xf numFmtId="0" fontId="67" fillId="31" borderId="18" xfId="1" applyNumberFormat="1" applyFont="1" applyFill="1" applyBorder="1" applyAlignment="1">
      <alignment horizontal="center" vertical="center" wrapText="1"/>
    </xf>
    <xf numFmtId="2" fontId="67" fillId="39" borderId="16" xfId="1" applyNumberFormat="1" applyFont="1" applyFill="1" applyBorder="1" applyAlignment="1">
      <alignment horizontal="center" vertical="center" wrapText="1"/>
    </xf>
    <xf numFmtId="2" fontId="68" fillId="39" borderId="16" xfId="1" applyNumberFormat="1" applyFont="1" applyFill="1" applyBorder="1" applyAlignment="1">
      <alignment horizontal="center" vertical="center" wrapText="1"/>
    </xf>
    <xf numFmtId="165" fontId="68" fillId="39" borderId="16" xfId="1" applyNumberFormat="1" applyFont="1" applyFill="1" applyBorder="1" applyAlignment="1">
      <alignment horizontal="center" vertical="center" wrapText="1"/>
    </xf>
    <xf numFmtId="2" fontId="69" fillId="39" borderId="16" xfId="1" applyNumberFormat="1" applyFont="1" applyFill="1" applyBorder="1" applyAlignment="1">
      <alignment horizontal="center" vertical="center" wrapText="1"/>
    </xf>
    <xf numFmtId="2" fontId="70" fillId="39" borderId="16" xfId="1" applyNumberFormat="1" applyFont="1" applyFill="1" applyBorder="1" applyAlignment="1">
      <alignment horizontal="center" vertical="center" wrapText="1"/>
    </xf>
    <xf numFmtId="2" fontId="71" fillId="39" borderId="16" xfId="1" applyNumberFormat="1" applyFont="1" applyFill="1" applyBorder="1" applyAlignment="1">
      <alignment horizontal="center" vertical="center" wrapText="1"/>
    </xf>
    <xf numFmtId="2" fontId="72" fillId="39" borderId="16" xfId="1" applyNumberFormat="1" applyFont="1" applyFill="1" applyBorder="1" applyAlignment="1">
      <alignment horizontal="center" vertical="center" wrapText="1"/>
    </xf>
    <xf numFmtId="0" fontId="67" fillId="39" borderId="16" xfId="1" applyNumberFormat="1" applyFont="1" applyFill="1" applyBorder="1" applyAlignment="1">
      <alignment horizontal="center" vertical="center" wrapText="1"/>
    </xf>
    <xf numFmtId="2" fontId="67" fillId="31" borderId="16" xfId="1" applyNumberFormat="1" applyFont="1" applyFill="1" applyBorder="1" applyAlignment="1">
      <alignment horizontal="center" vertical="center" wrapText="1"/>
    </xf>
    <xf numFmtId="2" fontId="67" fillId="31" borderId="1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7" fillId="0" borderId="1" xfId="0" applyFont="1" applyBorder="1" applyAlignment="1">
      <alignment wrapText="1"/>
    </xf>
    <xf numFmtId="0" fontId="49" fillId="0" borderId="2" xfId="0" applyFont="1" applyBorder="1" applyAlignment="1">
      <alignment wrapText="1"/>
    </xf>
    <xf numFmtId="0" fontId="49" fillId="0" borderId="3" xfId="0" applyFont="1" applyBorder="1" applyAlignment="1">
      <alignment wrapText="1"/>
    </xf>
    <xf numFmtId="0" fontId="49" fillId="0" borderId="4" xfId="0" applyFont="1" applyBorder="1" applyAlignment="1">
      <alignment wrapText="1"/>
    </xf>
    <xf numFmtId="0" fontId="49" fillId="0" borderId="5" xfId="0" applyFont="1" applyBorder="1" applyAlignment="1">
      <alignment wrapText="1"/>
    </xf>
    <xf numFmtId="0" fontId="49" fillId="0" borderId="0" xfId="0" applyFont="1" applyBorder="1" applyAlignment="1">
      <alignment wrapText="1"/>
    </xf>
    <xf numFmtId="0" fontId="49" fillId="0" borderId="6" xfId="0" applyFont="1" applyBorder="1" applyAlignment="1">
      <alignment wrapText="1"/>
    </xf>
    <xf numFmtId="0" fontId="49" fillId="0" borderId="7" xfId="0" applyFont="1" applyBorder="1" applyAlignment="1">
      <alignment wrapText="1"/>
    </xf>
    <xf numFmtId="0" fontId="49" fillId="0" borderId="8" xfId="0" applyFont="1" applyBorder="1" applyAlignment="1">
      <alignment wrapText="1"/>
    </xf>
    <xf numFmtId="0" fontId="49" fillId="0" borderId="9" xfId="0" applyFont="1" applyBorder="1" applyAlignment="1">
      <alignment wrapText="1"/>
    </xf>
    <xf numFmtId="0" fontId="50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3">
    <cellStyle name="Обычный" xfId="0" builtinId="0"/>
    <cellStyle name="Обычный 2" xfId="1"/>
    <cellStyle name="Процентный" xfId="2" builtinId="5"/>
  </cellStyles>
  <dxfs count="129"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70C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" formatCode="0"/>
    </dxf>
    <dxf>
      <alignment horizontal="left" vertical="bottom" textRotation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top" textRotation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rgb="FFC0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scheme val="none"/>
      </font>
      <numFmt numFmtId="1" formatCode="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scheme val="none"/>
      </font>
      <numFmt numFmtId="1" formatCode="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scheme val="none"/>
      </font>
      <numFmt numFmtId="1" formatCode="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scheme val="none"/>
      </font>
      <numFmt numFmtId="1" formatCode="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Arial Black"/>
        <scheme val="none"/>
      </font>
      <numFmt numFmtId="1" formatCode="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Arial Black"/>
        <scheme val="none"/>
      </font>
      <numFmt numFmtId="1" formatCode="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Arial Black"/>
        <scheme val="none"/>
      </font>
      <numFmt numFmtId="1" formatCode="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Arial Black"/>
        <scheme val="none"/>
      </font>
      <numFmt numFmtId="1" formatCode="0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Arial Black"/>
        <scheme val="none"/>
      </font>
      <numFmt numFmtId="14" formatCode="0.00%"/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66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A5FBF9"/>
      <color rgb="FF66FFFF"/>
      <color rgb="FFFF9999"/>
      <color rgb="FFFF7C80"/>
      <color rgb="FFFF0000"/>
      <color rgb="FFFF00FF"/>
      <color rgb="FFCCECFF"/>
      <color rgb="FF00CC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Таблица7" displayName="Таблица7" ref="A1:BY533" totalsRowShown="0" headerRowDxfId="125" dataDxfId="124" headerRowCellStyle="Обычный 2" dataCellStyle="Обычный 2">
  <autoFilter ref="A1:BY533"/>
  <tableColumns count="77">
    <tableColumn id="2" name="ID" dataDxfId="123" dataCellStyle="Обычный 2"/>
    <tableColumn id="1" name="Русское название" dataDxfId="122" dataCellStyle="Обычный 2"/>
    <tableColumn id="60" name="Unit name"/>
    <tableColumn id="51" name="category" dataDxfId="121" dataCellStyle="Обычный 2"/>
    <tableColumn id="50" name="class" dataDxfId="120" dataCellStyle="Обычный 2"/>
    <tableColumn id="3" name="voice_type" dataDxfId="119" dataCellStyle="Обычный 2"/>
    <tableColumn id="73" name="banner faction" dataDxfId="118" dataCellStyle="Обычный 2"/>
    <tableColumn id="61" name="banner holy" dataDxfId="117" dataCellStyle="Обычный 2"/>
    <tableColumn id="59" name="% от базовой численности" dataDxfId="116" dataCellStyle="Процентный"/>
    <tableColumn id="46" name="Размер отряда минимум" dataDxfId="115" dataCellStyle="Обычный 2"/>
    <tableColumn id="57" name="Размер отряда норма" dataDxfId="114" dataCellStyle="Обычный 2"/>
    <tableColumn id="58" name="Размер отряда большой" dataDxfId="113" dataCellStyle="Обычный 2"/>
    <tableColumn id="22" name="Размер отряда максимум" dataDxfId="112" dataCellStyle="Обычный 2"/>
    <tableColumn id="74" name="mount_effect" dataDxfId="111" dataCellStyle="Обычный 2"/>
    <tableColumn id="75" name="attributes" dataDxfId="110" dataCellStyle="Обычный 2"/>
    <tableColumn id="76" name="formation" dataDxfId="109" dataCellStyle="Обычный 2"/>
    <tableColumn id="77" name="stat_health" dataDxfId="108" dataCellStyle="Обычный 2"/>
    <tableColumn id="4" name="фракция" dataDxfId="107" dataCellStyle="Обычный 2"/>
    <tableColumn id="62" name="Fraction" dataDxfId="106" dataCellStyle="Обычный 2"/>
    <tableColumn id="5" name="Эпоха" dataDxfId="105" dataCellStyle="Обычный 2"/>
    <tableColumn id="7" name="Описание" dataDxfId="104" dataCellStyle="Обычный 2"/>
    <tableColumn id="63" name="Description" dataDxfId="103"/>
    <tableColumn id="8" name="Строй" dataDxfId="102" dataCellStyle="Обычный 2"/>
    <tableColumn id="9" name="Основное оружие" dataDxfId="101" dataCellStyle="Обычный 2"/>
    <tableColumn id="64" name="Primary weapon"/>
    <tableColumn id="36" name="Дополнительное оружие" dataDxfId="100" dataCellStyle="Обычный 2"/>
    <tableColumn id="65" name="Secondary weapon"/>
    <tableColumn id="35" name="Щит." dataDxfId="99" dataCellStyle="Обычный 2"/>
    <tableColumn id="66" name="Shield"/>
    <tableColumn id="10" name="доспехи" dataDxfId="98" dataCellStyle="Обычный 2"/>
    <tableColumn id="67" name="Armour"/>
    <tableColumn id="11" name="апгрейд 1" dataDxfId="97" dataCellStyle="Обычный 2"/>
    <tableColumn id="68" name="Upgrade 1" dataDxfId="96" dataCellStyle="Обычный 2"/>
    <tableColumn id="12" name="апгрейд 2" dataDxfId="95" dataCellStyle="Обычный 2"/>
    <tableColumn id="69" name="Upgrade 2" dataDxfId="94" dataCellStyle="Обычный 2"/>
    <tableColumn id="13" name="апгрейд 3" dataDxfId="93" dataCellStyle="Обычный 2"/>
    <tableColumn id="70" name="Upgrade 3" dataDxfId="92" dataCellStyle="Обычный 2"/>
    <tableColumn id="14" name="Доспех коня" dataDxfId="91" dataCellStyle="Обычный 2"/>
    <tableColumn id="15" name="город/замок" dataDxfId="90" dataCellStyle="Обычный 2"/>
    <tableColumn id="16" name="постройка" dataDxfId="89" dataCellStyle="Обычный 2"/>
    <tableColumn id="72" name="building " dataDxfId="88" dataCellStyle="Обычный 2"/>
    <tableColumn id="17" name="провинция" dataDxfId="87" dataCellStyle="Обычный 2"/>
    <tableColumn id="71" name="provinces"/>
    <tableColumn id="18" name="скрытый ресурс" dataDxfId="86" dataCellStyle="Обычный 2"/>
    <tableColumn id="19" name="год с" dataDxfId="85" dataCellStyle="Обычный 2"/>
    <tableColumn id="20" name="год до" dataDxfId="84" dataCellStyle="Обычный 2"/>
    <tableColumn id="38" name="Уровень тренированности в ближнем бою(как индивидуальный, так и командный)" dataDxfId="83" dataCellStyle="Обычный 2"/>
    <tableColumn id="30" name="Меткость" dataDxfId="82" dataCellStyle="Обычный 2"/>
    <tableColumn id="43" name="Мощь основного оружия(урон, длина, сложность владения и тд)" dataDxfId="81" dataCellStyle="Обычный 2">
      <calculatedColumnFormula>VLOOKUP(Таблица7[[#This Row],[Основное оружие]], Оружие[#All], 2, 0)</calculatedColumnFormula>
    </tableColumn>
    <tableColumn id="6" name="Мощь дополнительного оружия(урон, длина, сложность владения и тд)" dataDxfId="80" dataCellStyle="Обычный 2"/>
    <tableColumn id="25" name="Навык атаки" dataDxfId="79" dataCellStyle="Обычный 2"/>
    <tableColumn id="21" name="Атака основного оружия" dataDxfId="78" dataCellStyle="Обычный 2"/>
    <tableColumn id="45" name="Атака дополнительного оружия" dataDxfId="77" dataCellStyle="Обычный 2">
      <calculatedColumnFormula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calculatedColumnFormula>
    </tableColumn>
    <tableColumn id="37" name="Натиск основного" dataDxfId="76" dataCellStyle="Обычный 2"/>
    <tableColumn id="44" name="Натиск дополнительного" dataDxfId="75" dataCellStyle="Обычный 2"/>
    <tableColumn id="26" name="Броня" dataDxfId="74" dataCellStyle="Обычный 2"/>
    <tableColumn id="42" name="Броня№1" dataDxfId="73" dataCellStyle="Обычный 2">
      <calculatedColumnFormula>VLOOKUP(Таблица7[[#This Row],[доспехи]], Броня[#All], 2, 0)+IF(Таблица7[[#This Row],[Доспех коня]]="да", VLOOKUP(Tables!$B$56,Броня[#All], 2, 0), 0)</calculatedColumnFormula>
    </tableColumn>
    <tableColumn id="41" name="Броня№2" dataDxfId="72" dataCellStyle="Обычный 2">
      <calculatedColumnFormula>VLOOKUP(Таблица7[[#This Row],[апгрейд 2]], Броня[#All], 2, 0)+IF(Таблица7[[#This Row],[Доспех коня]]="да", VLOOKUP(Tables!$B$56,Броня[#All], 2, 0), 0)</calculatedColumnFormula>
    </tableColumn>
    <tableColumn id="40" name="Броня№3" dataDxfId="71" dataCellStyle="Обычный 2">
      <calculatedColumnFormula>VLOOKUP(Таблица7[[#This Row],[апгрейд 3]], Броня[#All], 2, 0)+IF(Таблица7[[#This Row],[Доспех коня]]="да", VLOOKUP(Tables!$B$56,Броня[#All], 2, 0), 0)</calculatedColumnFormula>
    </tableColumn>
    <tableColumn id="29" name="навык защиты" dataDxfId="70" dataCellStyle="Обычный 2"/>
    <tableColumn id="27" name="Щит" dataDxfId="69" dataCellStyle="Обычный 2"/>
    <tableColumn id="39" name="Общая защита" dataDxfId="68" dataCellStyle="Обычный 2"/>
    <tableColumn id="52" name="Исключения и корректировки" dataDxfId="67" dataCellStyle="Обычный 2"/>
    <tableColumn id="53" name="Бонус-малус" dataDxfId="66" dataCellStyle="Обычный 2"/>
    <tableColumn id="23" name="move_speed_mod" dataDxfId="65" dataCellStyle="Обычный 2"/>
    <tableColumn id="24" name="выносливость" dataDxfId="64" dataCellStyle="Обычный 2"/>
    <tableColumn id="31" name="stat_heat" dataDxfId="63" dataCellStyle="Обычный 2"/>
    <tableColumn id="56" name="stat_ground; Модификатор почвы:заросли" dataDxfId="62" dataCellStyle="Обычный 2"/>
    <tableColumn id="55" name="stat_ground; Модификатор почвы:песок" dataDxfId="61" dataCellStyle="Обычный 2"/>
    <tableColumn id="54" name="stat_ground; Модификатор почвы:лес" dataDxfId="60" dataCellStyle="Обычный 2"/>
    <tableColumn id="49" name="stat_ground; Модификатор почвы:снег" dataDxfId="59" dataCellStyle="Обычный 2"/>
    <tableColumn id="28" name="stat_mental; боевой дух" dataDxfId="58" dataCellStyle="Обычный 2"/>
    <tableColumn id="48" name="stat_mental; Дисцпилина" dataDxfId="57" dataCellStyle="Обычный 2"/>
    <tableColumn id="47" name="stat_mental; Тренированность" dataDxfId="56" dataCellStyle="Обычный 2"/>
    <tableColumn id="33" name="stat_cost; цена" dataDxfId="55" dataCellStyle="Обычный 2"/>
    <tableColumn id="34" name="stat_cost; содержание" dataDxfId="54" dataCellStyle="Обычный 2"/>
    <tableColumn id="32" name="recruit_priority_offset" dataDxfId="53" dataCellStyle="Обычный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Выносливость" displayName="Выносливость" ref="AD2:AG14" headerRowCount="0" totalsRowShown="0" headerRowDxfId="34">
  <tableColumns count="4">
    <tableColumn id="1" name="Столбец1" headerRowDxfId="33" dataDxfId="32"/>
    <tableColumn id="2" name="Столбец2" headerRowDxfId="31" dataDxfId="30"/>
    <tableColumn id="3" name="Столбец3" headerRowDxfId="29" dataDxfId="28"/>
    <tableColumn id="4" name="Столбец4" headerRowDxfId="27" dataDxfId="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Почва_и_зной" displayName="Почва_и_зной" ref="AI2:AO22" totalsRowShown="0">
  <autoFilter ref="AI2:AO22"/>
  <tableColumns count="7">
    <tableColumn id="1" name="География"/>
    <tableColumn id="7" name="Усталость в жарком климате" dataDxfId="25"/>
    <tableColumn id="2" name="Категория" dataDxfId="24"/>
    <tableColumn id="3" name="Заросли" dataDxfId="23"/>
    <tableColumn id="4" name="Песок" dataDxfId="22"/>
    <tableColumn id="5" name="Лес" dataDxfId="21"/>
    <tableColumn id="6" name="Снег" dataDxfId="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Стрелковое_оружие" displayName="Стрелковое_оружие" ref="AQ2:AX26" totalsRowShown="0">
  <autoFilter ref="AQ2:AX26"/>
  <sortState ref="AQ3:AX26">
    <sortCondition descending="1" ref="AR2:AR26"/>
  </sortState>
  <tableColumns count="8">
    <tableColumn id="1" name="Название" dataDxfId="19"/>
    <tableColumn id="2" name="Мощность"/>
    <tableColumn id="3" name="Пробитие брони"/>
    <tableColumn id="4" name="Дальность"/>
    <tableColumn id="5" name="Боезапас"/>
    <tableColumn id="9" name="Низкая точность" dataDxfId="18"/>
    <tableColumn id="8" name="Средняя точность" dataDxfId="17"/>
    <tableColumn id="7" name="Высокая точность" dataDxfId="1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Базовая_численность_пехота" displayName="Базовая_численность_пехота" ref="AZ3:BB14" totalsRowShown="0">
  <autoFilter ref="AZ3:BB14"/>
  <tableColumns count="3">
    <tableColumn id="1" name="Пехота" dataDxfId="15"/>
    <tableColumn id="2" name="1500-1549" dataDxfId="14"/>
    <tableColumn id="3" name="1550-1600" dataDxfId="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Базовая_численность_кавалерия" displayName="Базовая_численность_кавалерия" ref="AZ26:BB34" totalsRowShown="0">
  <autoFilter ref="AZ26:BB34"/>
  <tableColumns count="3">
    <tableColumn id="1" name="Кавалерия" dataDxfId="12"/>
    <tableColumn id="2" name="1500-1549" dataDxfId="11"/>
    <tableColumn id="3" name="1550-1600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Численность_проценты" displayName="Численность_проценты" ref="BE2:BI11" dataDxfId="9">
  <autoFilter ref="BE2:BI1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регион" totalsRowLabel="Итог"/>
    <tableColumn id="2" name="пех" dataDxfId="8" totalsRowDxfId="7"/>
    <tableColumn id="3" name="кав" dataDxfId="6" totalsRowDxfId="5"/>
    <tableColumn id="4" name="стр" dataDxfId="4" totalsRowDxfId="3"/>
    <tableColumn id="5" name="бл бой" totalsRowFunction="count" dataDxfId="2" totalsRowDxfId="1"/>
  </tableColumns>
  <tableStyleInfo name="TableStyleMedium3" showFirstColumn="1" showLastColumn="0" showRowStripes="1" showColumnStripes="0"/>
</table>
</file>

<file path=xl/tables/table2.xml><?xml version="1.0" encoding="utf-8"?>
<table xmlns="http://schemas.openxmlformats.org/spreadsheetml/2006/main" id="1" name="Броня" displayName="Броня" ref="B2:C43" totalsRowShown="0" headerRowDxfId="50">
  <autoFilter ref="B2:C43"/>
  <sortState ref="B3:C43">
    <sortCondition descending="1" ref="C2:C43"/>
  </sortState>
  <tableColumns count="2">
    <tableColumn id="1" name="Броня" dataDxfId="49"/>
    <tableColumn id="2" name="Значение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Щит" displayName="Щит" ref="E2:F12" totalsRowShown="0">
  <autoFilter ref="E2:F12"/>
  <sortState ref="E3:F12">
    <sortCondition descending="1" ref="F2:F12"/>
  </sortState>
  <tableColumns count="2">
    <tableColumn id="1" name="Щиты" dataDxfId="47"/>
    <tableColumn id="2" name="Значение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Навык" displayName="Навык" ref="H2:I12" totalsRowShown="0">
  <autoFilter ref="H2:I12"/>
  <tableColumns count="2">
    <tableColumn id="1" name="Тренированность в ближнем бою"/>
    <tableColumn id="2" name="Значение" dataDxfId="4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БоевойДух" displayName="БоевойДух" ref="S2:T13" totalsRowShown="0">
  <autoFilter ref="S2:T13"/>
  <tableColumns count="2">
    <tableColumn id="1" name="Боевой дух"/>
    <tableColumn id="2" name="Значение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Натиск" displayName="Натиск" ref="V2:W11" totalsRowShown="0">
  <autoFilter ref="V2:W11"/>
  <sortState ref="V3:W11">
    <sortCondition descending="1" ref="W2:W11"/>
  </sortState>
  <tableColumns count="2">
    <tableColumn id="1" name="Натиск"/>
    <tableColumn id="2" name="Значение" dataDxfId="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Оружие" displayName="Оружие" ref="K2:Q82" totalsRowShown="0">
  <autoFilter ref="K2:Q82"/>
  <sortState ref="K3:Q80">
    <sortCondition descending="1" ref="L2:L80"/>
  </sortState>
  <tableColumns count="7">
    <tableColumn id="1" name="Базовый урон оружием" dataDxfId="42"/>
    <tableColumn id="2" name="Мощность" dataDxfId="41"/>
    <tableColumn id="6" name="Натиск" dataDxfId="40"/>
    <tableColumn id="3" name="Пробитие брони"/>
    <tableColumn id="4" name="Бонус против кавы"/>
    <tableColumn id="5" name="Бонус-малус навык атаки"/>
    <tableColumn id="7" name="Бонус-малус навык защиты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БонусМалус" displayName="БонусМалус" ref="Y2:AB17" totalsRowShown="0" dataDxfId="39">
  <autoFilter ref="Y2:AB17"/>
  <tableColumns count="4">
    <tableColumn id="1" name="Бонус-малус" dataDxfId="38"/>
    <tableColumn id="2" name="Значение" dataDxfId="37"/>
    <tableColumn id="3" name="Характеристика" dataDxfId="36"/>
    <tableColumn id="4" name="Примечание" dataDxfId="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БонусМалус2" displayName="БонусМалус2" ref="Y19:AB33" totalsRowShown="0">
  <autoFilter ref="Y19:AB33"/>
  <tableColumns count="4">
    <tableColumn id="1" name="Бонус-малус"/>
    <tableColumn id="2" name="Значение"/>
    <tableColumn id="3" name="Характеристика"/>
    <tableColumn id="4" name="Примеч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36"/>
  <sheetViews>
    <sheetView tabSelected="1" zoomScale="80" zoomScaleNormal="80" workbookViewId="0">
      <pane ySplit="1" topLeftCell="A44" activePane="bottomLeft" state="frozen"/>
      <selection pane="bottomLeft" activeCell="N25" sqref="N25"/>
    </sheetView>
  </sheetViews>
  <sheetFormatPr defaultRowHeight="22.5" x14ac:dyDescent="0.25"/>
  <cols>
    <col min="1" max="1" width="6.5703125" style="326" bestFit="1" customWidth="1"/>
    <col min="2" max="2" width="68.85546875" style="28" bestFit="1" customWidth="1"/>
    <col min="3" max="3" width="59.5703125" style="28" customWidth="1"/>
    <col min="4" max="4" width="19.42578125" style="28" bestFit="1" customWidth="1"/>
    <col min="5" max="5" width="21.5703125" bestFit="1" customWidth="1"/>
    <col min="6" max="6" width="14" bestFit="1" customWidth="1"/>
    <col min="7" max="7" width="16.85546875" bestFit="1" customWidth="1"/>
    <col min="8" max="8" width="14.85546875" bestFit="1" customWidth="1"/>
    <col min="9" max="9" width="16.42578125" style="28" bestFit="1" customWidth="1"/>
    <col min="10" max="10" width="18.140625" style="28" bestFit="1" customWidth="1"/>
    <col min="11" max="11" width="12" style="157" bestFit="1" customWidth="1"/>
    <col min="12" max="12" width="18.140625" style="666" bestFit="1" customWidth="1"/>
    <col min="13" max="13" width="18.140625" style="636" bestFit="1" customWidth="1"/>
    <col min="14" max="17" width="12.28515625" style="636" customWidth="1"/>
    <col min="18" max="19" width="23.7109375" style="28" customWidth="1"/>
    <col min="20" max="20" width="15.140625" style="28" bestFit="1" customWidth="1"/>
    <col min="21" max="21" width="64.5703125" bestFit="1" customWidth="1"/>
    <col min="22" max="22" width="75.85546875" style="28" bestFit="1" customWidth="1"/>
    <col min="23" max="23" width="10.85546875" style="28" bestFit="1" customWidth="1"/>
    <col min="24" max="24" width="35.42578125" style="194" bestFit="1" customWidth="1"/>
    <col min="25" max="25" width="22.140625" style="157" bestFit="1" customWidth="1"/>
    <col min="26" max="26" width="17.42578125" style="28" bestFit="1" customWidth="1"/>
    <col min="27" max="27" width="20.42578125" style="28" bestFit="1" customWidth="1"/>
    <col min="28" max="28" width="13.42578125" style="28" bestFit="1" customWidth="1"/>
    <col min="29" max="29" width="12.140625" style="28" bestFit="1" customWidth="1"/>
    <col min="30" max="32" width="25.5703125" style="28" customWidth="1"/>
    <col min="33" max="34" width="25.5703125" style="194" customWidth="1"/>
    <col min="35" max="37" width="25.5703125" style="28" customWidth="1"/>
    <col min="38" max="38" width="15.5703125" style="28" bestFit="1" customWidth="1"/>
    <col min="39" max="39" width="16.140625" style="194" bestFit="1" customWidth="1"/>
    <col min="40" max="40" width="21.5703125" style="194" bestFit="1" customWidth="1"/>
    <col min="41" max="41" width="22.28515625" style="211" bestFit="1" customWidth="1"/>
    <col min="42" max="42" width="43.140625" style="28" bestFit="1" customWidth="1"/>
    <col min="43" max="43" width="27.5703125" style="28" bestFit="1" customWidth="1"/>
    <col min="44" max="44" width="18.28515625" style="28" bestFit="1" customWidth="1"/>
    <col min="45" max="45" width="12.140625" style="28" bestFit="1" customWidth="1"/>
    <col min="46" max="46" width="11" style="28" bestFit="1" customWidth="1"/>
    <col min="47" max="47" width="8.85546875" customWidth="1"/>
    <col min="48" max="48" width="17.42578125" bestFit="1" customWidth="1"/>
    <col min="49" max="50" width="9.7109375" customWidth="1"/>
    <col min="51" max="51" width="11" bestFit="1" customWidth="1"/>
    <col min="52" max="52" width="11.5703125" style="636" bestFit="1" customWidth="1"/>
    <col min="53" max="53" width="11.85546875" style="636" bestFit="1" customWidth="1"/>
    <col min="54" max="54" width="13.85546875" style="635" bestFit="1" customWidth="1"/>
    <col min="55" max="55" width="15.42578125" style="402" bestFit="1" customWidth="1"/>
    <col min="56" max="56" width="10.42578125" style="402" bestFit="1" customWidth="1"/>
    <col min="57" max="59" width="13.42578125" style="405" bestFit="1" customWidth="1"/>
    <col min="60" max="60" width="17" style="405" bestFit="1" customWidth="1"/>
    <col min="61" max="61" width="15.140625" style="703" bestFit="1" customWidth="1"/>
    <col min="62" max="62" width="11.42578125" style="405" bestFit="1" customWidth="1"/>
    <col min="63" max="63" width="21.7109375" style="405" bestFit="1" customWidth="1"/>
    <col min="64" max="64" width="11.28515625" style="405" bestFit="1" customWidth="1"/>
    <col min="65" max="65" width="12.42578125" style="405" bestFit="1" customWidth="1"/>
    <col min="66" max="66" width="14.28515625" style="405" bestFit="1" customWidth="1"/>
    <col min="67" max="67" width="13" style="405" bestFit="1" customWidth="1"/>
    <col min="68" max="68" width="17.7109375" style="405" bestFit="1" customWidth="1"/>
    <col min="69" max="69" width="17" style="405" bestFit="1" customWidth="1"/>
    <col min="70" max="70" width="16" style="405" bestFit="1" customWidth="1"/>
    <col min="71" max="71" width="17.42578125" style="1006" bestFit="1" customWidth="1"/>
    <col min="72" max="72" width="16" style="1006" bestFit="1" customWidth="1"/>
    <col min="73" max="73" width="16" style="405" bestFit="1" customWidth="1"/>
    <col min="74" max="74" width="16.140625" style="1006" bestFit="1" customWidth="1"/>
    <col min="75" max="75" width="17.42578125" style="402" bestFit="1" customWidth="1"/>
    <col min="76" max="76" width="15.7109375" style="402" bestFit="1" customWidth="1"/>
    <col min="77" max="77" width="20.7109375" style="402" bestFit="1" customWidth="1"/>
    <col min="78" max="78" width="14.7109375" style="402" customWidth="1"/>
    <col min="79" max="79" width="15.28515625" style="402" customWidth="1"/>
    <col min="80" max="80" width="12.5703125" style="402" customWidth="1"/>
    <col min="81" max="81" width="13.7109375" style="1015" customWidth="1"/>
    <col min="82" max="82" width="15.42578125" style="1015" bestFit="1" customWidth="1"/>
    <col min="83" max="83" width="21.28515625" style="402" customWidth="1"/>
    <col min="84" max="84" width="7.85546875" style="402" customWidth="1"/>
    <col min="85" max="85" width="14.85546875" style="402" customWidth="1"/>
    <col min="86" max="16384" width="9.140625" style="28"/>
  </cols>
  <sheetData>
    <row r="1" spans="1:78" s="1033" customFormat="1" ht="40.5" customHeight="1" x14ac:dyDescent="0.25">
      <c r="A1" s="1016" t="s">
        <v>2915</v>
      </c>
      <c r="B1" s="1016" t="s">
        <v>931</v>
      </c>
      <c r="C1" s="1016" t="s">
        <v>1868</v>
      </c>
      <c r="D1" s="1016" t="s">
        <v>2916</v>
      </c>
      <c r="E1" s="1016" t="s">
        <v>2917</v>
      </c>
      <c r="F1" s="1016" t="s">
        <v>2895</v>
      </c>
      <c r="G1" s="1016" t="s">
        <v>2896</v>
      </c>
      <c r="H1" s="1016" t="s">
        <v>2897</v>
      </c>
      <c r="I1" s="1017" t="s">
        <v>1825</v>
      </c>
      <c r="J1" s="1018" t="s">
        <v>1721</v>
      </c>
      <c r="K1" s="1018" t="s">
        <v>1722</v>
      </c>
      <c r="L1" s="1018" t="s">
        <v>1723</v>
      </c>
      <c r="M1" s="1019" t="s">
        <v>1724</v>
      </c>
      <c r="N1" s="1019" t="s">
        <v>2898</v>
      </c>
      <c r="O1" s="1019" t="s">
        <v>2899</v>
      </c>
      <c r="P1" s="1019" t="s">
        <v>2900</v>
      </c>
      <c r="Q1" s="1019" t="s">
        <v>2901</v>
      </c>
      <c r="R1" s="1016" t="s">
        <v>933</v>
      </c>
      <c r="S1" s="1016" t="s">
        <v>1870</v>
      </c>
      <c r="T1" s="1016" t="s">
        <v>972</v>
      </c>
      <c r="U1" s="1020" t="s">
        <v>1544</v>
      </c>
      <c r="V1" s="1021" t="s">
        <v>1872</v>
      </c>
      <c r="W1" s="1016" t="s">
        <v>983</v>
      </c>
      <c r="X1" s="1016" t="s">
        <v>1489</v>
      </c>
      <c r="Y1" s="1016" t="s">
        <v>1873</v>
      </c>
      <c r="Z1" s="1016" t="s">
        <v>1490</v>
      </c>
      <c r="AA1" s="1016" t="s">
        <v>1874</v>
      </c>
      <c r="AB1" s="1016" t="s">
        <v>1495</v>
      </c>
      <c r="AC1" s="1016" t="s">
        <v>1875</v>
      </c>
      <c r="AD1" s="1020" t="s">
        <v>1494</v>
      </c>
      <c r="AE1" s="1020" t="s">
        <v>1876</v>
      </c>
      <c r="AF1" s="1016" t="s">
        <v>988</v>
      </c>
      <c r="AG1" s="1016" t="s">
        <v>1954</v>
      </c>
      <c r="AH1" s="1016" t="s">
        <v>989</v>
      </c>
      <c r="AI1" s="1016" t="s">
        <v>1955</v>
      </c>
      <c r="AJ1" s="1020" t="s">
        <v>990</v>
      </c>
      <c r="AK1" s="1020" t="s">
        <v>1956</v>
      </c>
      <c r="AL1" s="1022" t="s">
        <v>1162</v>
      </c>
      <c r="AM1" s="1016" t="s">
        <v>935</v>
      </c>
      <c r="AN1" s="1016" t="s">
        <v>936</v>
      </c>
      <c r="AO1" s="1016" t="s">
        <v>1878</v>
      </c>
      <c r="AP1" s="1016" t="s">
        <v>937</v>
      </c>
      <c r="AQ1" s="1016" t="s">
        <v>1877</v>
      </c>
      <c r="AR1" s="1016" t="s">
        <v>938</v>
      </c>
      <c r="AS1" s="1016" t="s">
        <v>939</v>
      </c>
      <c r="AT1" s="1021" t="s">
        <v>940</v>
      </c>
      <c r="AU1" s="1023" t="s">
        <v>1569</v>
      </c>
      <c r="AV1" s="1023" t="s">
        <v>1824</v>
      </c>
      <c r="AW1" s="1023" t="s">
        <v>1526</v>
      </c>
      <c r="AX1" s="1023" t="s">
        <v>1525</v>
      </c>
      <c r="AY1" s="1023" t="s">
        <v>1493</v>
      </c>
      <c r="AZ1" s="1024" t="s">
        <v>2938</v>
      </c>
      <c r="BA1" s="1025" t="s">
        <v>2939</v>
      </c>
      <c r="BB1" s="1026" t="s">
        <v>1529</v>
      </c>
      <c r="BC1" s="1026" t="s">
        <v>1530</v>
      </c>
      <c r="BD1" s="1027" t="s">
        <v>1466</v>
      </c>
      <c r="BE1" s="1027" t="s">
        <v>1497</v>
      </c>
      <c r="BF1" s="1027" t="s">
        <v>1498</v>
      </c>
      <c r="BG1" s="1027" t="s">
        <v>1499</v>
      </c>
      <c r="BH1" s="1028" t="s">
        <v>1492</v>
      </c>
      <c r="BI1" s="1029" t="s">
        <v>1465</v>
      </c>
      <c r="BJ1" s="1023" t="s">
        <v>1496</v>
      </c>
      <c r="BK1" s="1030" t="s">
        <v>1581</v>
      </c>
      <c r="BL1" s="1030" t="s">
        <v>1563</v>
      </c>
      <c r="BM1" s="1031" t="s">
        <v>2932</v>
      </c>
      <c r="BN1" s="1032" t="s">
        <v>1165</v>
      </c>
      <c r="BO1" s="1031" t="s">
        <v>2904</v>
      </c>
      <c r="BP1" s="1031" t="s">
        <v>2905</v>
      </c>
      <c r="BQ1" s="1031" t="s">
        <v>2906</v>
      </c>
      <c r="BR1" s="1031" t="s">
        <v>2907</v>
      </c>
      <c r="BS1" s="1031" t="s">
        <v>2908</v>
      </c>
      <c r="BT1" s="1031" t="s">
        <v>2909</v>
      </c>
      <c r="BU1" s="1032" t="s">
        <v>2910</v>
      </c>
      <c r="BV1" s="1032" t="s">
        <v>2911</v>
      </c>
      <c r="BW1" s="1031" t="s">
        <v>2912</v>
      </c>
      <c r="BX1" s="1031" t="s">
        <v>2913</v>
      </c>
      <c r="BY1" s="1031" t="s">
        <v>2914</v>
      </c>
    </row>
    <row r="2" spans="1:78" s="30" customFormat="1" ht="21" customHeight="1" x14ac:dyDescent="0.25">
      <c r="A2" s="333">
        <v>1</v>
      </c>
      <c r="B2" s="29" t="s">
        <v>1867</v>
      </c>
      <c r="C2" s="29" t="s">
        <v>1869</v>
      </c>
      <c r="D2" s="453" t="s">
        <v>1545</v>
      </c>
      <c r="E2" s="453" t="s">
        <v>1546</v>
      </c>
      <c r="F2" s="453"/>
      <c r="G2" s="453"/>
      <c r="H2" s="453"/>
      <c r="I2" s="642"/>
      <c r="J2" s="581">
        <v>0</v>
      </c>
      <c r="K2" s="581">
        <f>Таблица7[[#This Row],[Размер отряда минимум]]*1.25</f>
        <v>0</v>
      </c>
      <c r="L2" s="581">
        <f>Таблица7[[#This Row],[Размер отряда норма]]*1.5</f>
        <v>0</v>
      </c>
      <c r="M2" s="582">
        <f>Таблица7[[#This Row],[Размер отряда минимум]]*2.5</f>
        <v>0</v>
      </c>
      <c r="N2" s="582"/>
      <c r="O2" s="582"/>
      <c r="P2" s="582"/>
      <c r="Q2" s="582"/>
      <c r="R2" s="30" t="s">
        <v>952</v>
      </c>
      <c r="S2" s="724" t="s">
        <v>1871</v>
      </c>
      <c r="T2" s="30" t="s">
        <v>952</v>
      </c>
      <c r="U2" s="725" t="s">
        <v>965</v>
      </c>
      <c r="V2" s="762" t="s">
        <v>1879</v>
      </c>
      <c r="AD2" s="168"/>
      <c r="AE2" s="168"/>
      <c r="AJ2" s="168"/>
      <c r="AK2" s="168"/>
      <c r="AL2" s="212" t="s">
        <v>985</v>
      </c>
      <c r="AN2" s="724" t="s">
        <v>1908</v>
      </c>
      <c r="AO2" s="724" t="s">
        <v>1909</v>
      </c>
      <c r="AS2" s="30">
        <v>1500</v>
      </c>
      <c r="AT2" s="31"/>
      <c r="AU2" s="405"/>
      <c r="AV2" s="405"/>
      <c r="AW2" s="405"/>
      <c r="AX2" s="405"/>
      <c r="AY2" s="405"/>
      <c r="AZ2" s="405"/>
      <c r="BA2" s="703"/>
      <c r="BB2" s="405"/>
      <c r="BC2" s="405"/>
      <c r="BD2" s="405"/>
      <c r="BE2" s="405"/>
      <c r="BF2" s="405"/>
      <c r="BG2" s="405"/>
      <c r="BH2" s="405"/>
      <c r="BI2" s="405"/>
      <c r="BJ2" s="405"/>
      <c r="BK2" s="1006"/>
      <c r="BL2" s="1006"/>
      <c r="BM2" s="578"/>
      <c r="BN2" s="968"/>
      <c r="BO2" s="373"/>
      <c r="BP2" s="373"/>
      <c r="BQ2" s="373"/>
      <c r="BR2" s="373"/>
      <c r="BS2" s="373"/>
      <c r="BT2" s="373"/>
      <c r="BU2" s="968"/>
      <c r="BV2" s="968"/>
      <c r="BW2" s="373"/>
      <c r="BX2" s="373"/>
      <c r="BY2" s="373"/>
      <c r="BZ2" s="32"/>
    </row>
    <row r="3" spans="1:78" s="30" customFormat="1" ht="21" customHeight="1" x14ac:dyDescent="0.25">
      <c r="A3" s="333">
        <v>2</v>
      </c>
      <c r="B3" s="29" t="s">
        <v>1549</v>
      </c>
      <c r="C3" s="29" t="s">
        <v>1880</v>
      </c>
      <c r="D3" s="453" t="s">
        <v>1545</v>
      </c>
      <c r="E3" s="453" t="s">
        <v>1546</v>
      </c>
      <c r="F3" s="453"/>
      <c r="G3" s="453"/>
      <c r="H3" s="453"/>
      <c r="I3" s="642"/>
      <c r="J3" s="581">
        <v>0</v>
      </c>
      <c r="K3" s="581">
        <f>Таблица7[[#This Row],[Размер отряда минимум]]*1.25</f>
        <v>0</v>
      </c>
      <c r="L3" s="581">
        <f>Таблица7[[#This Row],[Размер отряда норма]]*1.5</f>
        <v>0</v>
      </c>
      <c r="M3" s="582">
        <f>Таблица7[[#This Row],[Размер отряда минимум]]*2.5</f>
        <v>0</v>
      </c>
      <c r="N3" s="582"/>
      <c r="O3" s="582"/>
      <c r="P3" s="582"/>
      <c r="Q3" s="582"/>
      <c r="R3" s="30" t="s">
        <v>952</v>
      </c>
      <c r="S3" s="724" t="s">
        <v>1871</v>
      </c>
      <c r="T3" s="30" t="s">
        <v>952</v>
      </c>
      <c r="U3" s="726" t="s">
        <v>1198</v>
      </c>
      <c r="V3" s="762" t="s">
        <v>1881</v>
      </c>
      <c r="AD3" s="168"/>
      <c r="AE3" s="168"/>
      <c r="AJ3" s="168"/>
      <c r="AK3" s="168"/>
      <c r="AL3" s="212" t="s">
        <v>985</v>
      </c>
      <c r="AN3" s="724" t="s">
        <v>1908</v>
      </c>
      <c r="AO3" s="724" t="s">
        <v>1909</v>
      </c>
      <c r="AS3" s="30">
        <v>1500</v>
      </c>
      <c r="AT3" s="31"/>
      <c r="AU3" s="405"/>
      <c r="AV3" s="405"/>
      <c r="AW3" s="405"/>
      <c r="AX3" s="405"/>
      <c r="AY3" s="405"/>
      <c r="AZ3" s="405"/>
      <c r="BA3" s="703"/>
      <c r="BB3" s="405"/>
      <c r="BC3" s="405"/>
      <c r="BD3" s="405"/>
      <c r="BE3" s="405"/>
      <c r="BF3" s="405"/>
      <c r="BG3" s="405"/>
      <c r="BH3" s="405"/>
      <c r="BI3" s="405"/>
      <c r="BJ3" s="405"/>
      <c r="BK3" s="1006"/>
      <c r="BL3" s="1006"/>
      <c r="BM3" s="578"/>
      <c r="BN3" s="968"/>
      <c r="BO3" s="373"/>
      <c r="BP3" s="373"/>
      <c r="BQ3" s="373"/>
      <c r="BR3" s="373"/>
      <c r="BS3" s="373"/>
      <c r="BT3" s="373"/>
      <c r="BU3" s="968"/>
      <c r="BV3" s="968"/>
      <c r="BW3" s="373"/>
      <c r="BX3" s="373"/>
      <c r="BY3" s="373"/>
      <c r="BZ3" s="32"/>
    </row>
    <row r="4" spans="1:78" s="30" customFormat="1" ht="21" customHeight="1" x14ac:dyDescent="0.25">
      <c r="A4" s="333">
        <v>3</v>
      </c>
      <c r="B4" s="29" t="s">
        <v>35</v>
      </c>
      <c r="C4" s="29" t="s">
        <v>1884</v>
      </c>
      <c r="D4" s="453" t="s">
        <v>1545</v>
      </c>
      <c r="E4" s="453" t="s">
        <v>1547</v>
      </c>
      <c r="F4" s="453"/>
      <c r="G4" s="453"/>
      <c r="H4" s="453"/>
      <c r="I4" s="642"/>
      <c r="J4" s="581">
        <v>0</v>
      </c>
      <c r="K4" s="581">
        <f>Таблица7[[#This Row],[Размер отряда минимум]]*1.25</f>
        <v>0</v>
      </c>
      <c r="L4" s="581">
        <f>Таблица7[[#This Row],[Размер отряда норма]]*1.5</f>
        <v>0</v>
      </c>
      <c r="M4" s="582">
        <f>Таблица7[[#This Row],[Размер отряда минимум]]*2.5</f>
        <v>0</v>
      </c>
      <c r="N4" s="582"/>
      <c r="O4" s="582"/>
      <c r="P4" s="582"/>
      <c r="Q4" s="582"/>
      <c r="R4" s="30" t="s">
        <v>952</v>
      </c>
      <c r="S4" s="724" t="s">
        <v>1871</v>
      </c>
      <c r="T4" s="30" t="s">
        <v>952</v>
      </c>
      <c r="U4" s="168" t="s">
        <v>966</v>
      </c>
      <c r="V4" s="762" t="s">
        <v>1882</v>
      </c>
      <c r="AD4" s="168"/>
      <c r="AE4" s="168"/>
      <c r="AJ4" s="168"/>
      <c r="AK4" s="168"/>
      <c r="AL4" s="212" t="s">
        <v>985</v>
      </c>
      <c r="AN4" s="724" t="s">
        <v>1908</v>
      </c>
      <c r="AO4" s="724" t="s">
        <v>1909</v>
      </c>
      <c r="AS4" s="30">
        <v>1500</v>
      </c>
      <c r="AT4" s="31"/>
      <c r="AU4" s="405"/>
      <c r="AV4" s="405"/>
      <c r="AW4" s="405"/>
      <c r="AX4" s="405"/>
      <c r="AY4" s="405"/>
      <c r="AZ4" s="405"/>
      <c r="BA4" s="703"/>
      <c r="BB4" s="405"/>
      <c r="BC4" s="405"/>
      <c r="BD4" s="405"/>
      <c r="BE4" s="405"/>
      <c r="BF4" s="405"/>
      <c r="BG4" s="405"/>
      <c r="BH4" s="405"/>
      <c r="BI4" s="405"/>
      <c r="BJ4" s="405"/>
      <c r="BK4" s="1006"/>
      <c r="BL4" s="1006"/>
      <c r="BM4" s="578"/>
      <c r="BN4" s="968"/>
      <c r="BO4" s="373"/>
      <c r="BP4" s="373"/>
      <c r="BQ4" s="373"/>
      <c r="BR4" s="373"/>
      <c r="BS4" s="373"/>
      <c r="BT4" s="373"/>
      <c r="BU4" s="968"/>
      <c r="BV4" s="968"/>
      <c r="BW4" s="373"/>
      <c r="BX4" s="373"/>
      <c r="BY4" s="373"/>
      <c r="BZ4" s="32"/>
    </row>
    <row r="5" spans="1:78" s="30" customFormat="1" ht="21" customHeight="1" x14ac:dyDescent="0.25">
      <c r="A5" s="333">
        <v>4</v>
      </c>
      <c r="B5" s="29" t="s">
        <v>36</v>
      </c>
      <c r="C5" s="29" t="s">
        <v>1885</v>
      </c>
      <c r="D5" s="453" t="s">
        <v>1545</v>
      </c>
      <c r="E5" s="453" t="s">
        <v>1547</v>
      </c>
      <c r="F5" s="453"/>
      <c r="G5" s="453"/>
      <c r="H5" s="453"/>
      <c r="I5" s="642"/>
      <c r="J5" s="581">
        <v>0</v>
      </c>
      <c r="K5" s="581">
        <f>Таблица7[[#This Row],[Размер отряда минимум]]*1.25</f>
        <v>0</v>
      </c>
      <c r="L5" s="581">
        <f>Таблица7[[#This Row],[Размер отряда норма]]*1.5</f>
        <v>0</v>
      </c>
      <c r="M5" s="582">
        <f>Таблица7[[#This Row],[Размер отряда минимум]]*2.5</f>
        <v>0</v>
      </c>
      <c r="N5" s="582"/>
      <c r="O5" s="582"/>
      <c r="P5" s="582"/>
      <c r="Q5" s="582"/>
      <c r="R5" s="30" t="s">
        <v>952</v>
      </c>
      <c r="S5" s="724" t="s">
        <v>1871</v>
      </c>
      <c r="T5" s="30" t="s">
        <v>952</v>
      </c>
      <c r="U5" s="727" t="s">
        <v>1174</v>
      </c>
      <c r="V5" s="762" t="s">
        <v>1883</v>
      </c>
      <c r="X5" s="33"/>
      <c r="Y5" s="33"/>
      <c r="Z5" s="33"/>
      <c r="AA5" s="33"/>
      <c r="AB5" s="33"/>
      <c r="AC5" s="33"/>
      <c r="AD5" s="169"/>
      <c r="AE5" s="169"/>
      <c r="AF5" s="33"/>
      <c r="AG5" s="33"/>
      <c r="AH5" s="33"/>
      <c r="AI5" s="33"/>
      <c r="AJ5" s="169"/>
      <c r="AK5" s="169"/>
      <c r="AL5" s="212" t="s">
        <v>985</v>
      </c>
      <c r="AN5" s="724" t="s">
        <v>1908</v>
      </c>
      <c r="AO5" s="724" t="s">
        <v>1909</v>
      </c>
      <c r="AS5" s="30">
        <v>1500</v>
      </c>
      <c r="AT5" s="31"/>
      <c r="AU5" s="405"/>
      <c r="AV5" s="405"/>
      <c r="AW5" s="405"/>
      <c r="AX5" s="405"/>
      <c r="AY5" s="405"/>
      <c r="AZ5" s="405"/>
      <c r="BA5" s="703"/>
      <c r="BB5" s="405"/>
      <c r="BC5" s="405"/>
      <c r="BD5" s="405"/>
      <c r="BE5" s="405"/>
      <c r="BF5" s="405"/>
      <c r="BG5" s="405"/>
      <c r="BH5" s="405"/>
      <c r="BI5" s="405"/>
      <c r="BJ5" s="405"/>
      <c r="BK5" s="1006"/>
      <c r="BL5" s="1006"/>
      <c r="BM5" s="578"/>
      <c r="BN5" s="968"/>
      <c r="BO5" s="373"/>
      <c r="BP5" s="373"/>
      <c r="BQ5" s="373"/>
      <c r="BR5" s="373"/>
      <c r="BS5" s="373"/>
      <c r="BT5" s="373"/>
      <c r="BU5" s="968"/>
      <c r="BV5" s="968"/>
      <c r="BW5" s="373"/>
      <c r="BX5" s="373"/>
      <c r="BY5" s="373"/>
      <c r="BZ5" s="32"/>
    </row>
    <row r="6" spans="1:78" s="35" customFormat="1" ht="21" customHeight="1" x14ac:dyDescent="0.25">
      <c r="A6" s="333">
        <v>5</v>
      </c>
      <c r="B6" s="34" t="s">
        <v>967</v>
      </c>
      <c r="C6" s="34" t="s">
        <v>1886</v>
      </c>
      <c r="D6" s="454" t="s">
        <v>1548</v>
      </c>
      <c r="E6" s="454" t="s">
        <v>1570</v>
      </c>
      <c r="F6" s="454"/>
      <c r="G6" s="454"/>
      <c r="H6" s="454"/>
      <c r="I6" s="643"/>
      <c r="J6" s="583">
        <v>0</v>
      </c>
      <c r="K6" s="583">
        <f>Таблица7[[#This Row],[Размер отряда минимум]]*1.25</f>
        <v>0</v>
      </c>
      <c r="L6" s="583">
        <f>Таблица7[[#This Row],[Размер отряда норма]]*1.5</f>
        <v>0</v>
      </c>
      <c r="M6" s="584">
        <f>Таблица7[[#This Row],[Размер отряда минимум]]*2.5</f>
        <v>0</v>
      </c>
      <c r="N6" s="584"/>
      <c r="O6" s="584"/>
      <c r="P6" s="584"/>
      <c r="Q6" s="584"/>
      <c r="R6" s="35" t="s">
        <v>980</v>
      </c>
      <c r="S6" s="763" t="s">
        <v>1891</v>
      </c>
      <c r="T6" s="838" t="s">
        <v>1032</v>
      </c>
      <c r="U6" s="839" t="s">
        <v>2268</v>
      </c>
      <c r="V6" s="764" t="s">
        <v>1893</v>
      </c>
      <c r="AD6" s="170"/>
      <c r="AE6" s="170"/>
      <c r="AJ6" s="170"/>
      <c r="AK6" s="170"/>
      <c r="AL6" s="213" t="s">
        <v>985</v>
      </c>
      <c r="AM6" s="35" t="s">
        <v>977</v>
      </c>
      <c r="AN6" s="763" t="s">
        <v>1910</v>
      </c>
      <c r="AO6" s="763" t="s">
        <v>1898</v>
      </c>
      <c r="AP6" s="35" t="s">
        <v>980</v>
      </c>
      <c r="AQ6" s="763" t="s">
        <v>1891</v>
      </c>
      <c r="AS6" s="35">
        <v>1500</v>
      </c>
      <c r="AT6" s="36"/>
      <c r="AU6" s="405"/>
      <c r="AV6" s="405"/>
      <c r="AW6" s="405"/>
      <c r="AX6" s="405"/>
      <c r="AY6" s="405"/>
      <c r="AZ6" s="405"/>
      <c r="BA6" s="703"/>
      <c r="BB6" s="405"/>
      <c r="BC6" s="405"/>
      <c r="BD6" s="405"/>
      <c r="BE6" s="405"/>
      <c r="BF6" s="405"/>
      <c r="BG6" s="405"/>
      <c r="BH6" s="405"/>
      <c r="BI6" s="405"/>
      <c r="BJ6" s="405"/>
      <c r="BK6" s="1006"/>
      <c r="BL6" s="1006"/>
      <c r="BM6" s="374"/>
      <c r="BN6" s="969"/>
      <c r="BO6" s="374"/>
      <c r="BP6" s="374"/>
      <c r="BQ6" s="374"/>
      <c r="BR6" s="374"/>
      <c r="BS6" s="374"/>
      <c r="BT6" s="374"/>
      <c r="BU6" s="969"/>
      <c r="BV6" s="969"/>
      <c r="BW6" s="374"/>
      <c r="BX6" s="374"/>
      <c r="BY6" s="374"/>
      <c r="BZ6" s="37"/>
    </row>
    <row r="7" spans="1:78" s="35" customFormat="1" ht="21" customHeight="1" x14ac:dyDescent="0.25">
      <c r="A7" s="333">
        <v>6</v>
      </c>
      <c r="B7" s="34" t="s">
        <v>968</v>
      </c>
      <c r="C7" s="34" t="s">
        <v>1888</v>
      </c>
      <c r="D7" s="454" t="s">
        <v>1548</v>
      </c>
      <c r="E7" s="454" t="s">
        <v>1570</v>
      </c>
      <c r="F7" s="454"/>
      <c r="G7" s="454"/>
      <c r="H7" s="454"/>
      <c r="I7" s="643"/>
      <c r="J7" s="583">
        <v>0</v>
      </c>
      <c r="K7" s="583">
        <f>Таблица7[[#This Row],[Размер отряда минимум]]*1.25</f>
        <v>0</v>
      </c>
      <c r="L7" s="583">
        <f>Таблица7[[#This Row],[Размер отряда норма]]*1.5</f>
        <v>0</v>
      </c>
      <c r="M7" s="584">
        <f>Таблица7[[#This Row],[Размер отряда минимум]]*2.5</f>
        <v>0</v>
      </c>
      <c r="N7" s="584"/>
      <c r="O7" s="584"/>
      <c r="P7" s="584"/>
      <c r="Q7" s="584"/>
      <c r="R7" s="35" t="s">
        <v>980</v>
      </c>
      <c r="S7" s="763" t="s">
        <v>1891</v>
      </c>
      <c r="T7" s="838" t="s">
        <v>1032</v>
      </c>
      <c r="U7" s="170" t="s">
        <v>973</v>
      </c>
      <c r="V7" s="764" t="s">
        <v>1888</v>
      </c>
      <c r="AD7" s="170"/>
      <c r="AE7" s="170"/>
      <c r="AJ7" s="170"/>
      <c r="AK7" s="170"/>
      <c r="AL7" s="213" t="s">
        <v>985</v>
      </c>
      <c r="AM7" s="35" t="s">
        <v>977</v>
      </c>
      <c r="AN7" s="763" t="s">
        <v>1910</v>
      </c>
      <c r="AO7" s="763" t="s">
        <v>1898</v>
      </c>
      <c r="AP7" s="35" t="s">
        <v>980</v>
      </c>
      <c r="AQ7" s="763" t="s">
        <v>1891</v>
      </c>
      <c r="AS7" s="35">
        <v>1500</v>
      </c>
      <c r="AT7" s="36"/>
      <c r="AU7" s="405"/>
      <c r="AV7" s="405"/>
      <c r="AW7" s="405"/>
      <c r="AX7" s="405"/>
      <c r="AY7" s="405"/>
      <c r="AZ7" s="405"/>
      <c r="BA7" s="703"/>
      <c r="BB7" s="405"/>
      <c r="BC7" s="405"/>
      <c r="BD7" s="405"/>
      <c r="BE7" s="405"/>
      <c r="BF7" s="405"/>
      <c r="BG7" s="405"/>
      <c r="BH7" s="405"/>
      <c r="BI7" s="405"/>
      <c r="BJ7" s="405"/>
      <c r="BK7" s="1006"/>
      <c r="BL7" s="1006"/>
      <c r="BM7" s="374"/>
      <c r="BN7" s="969"/>
      <c r="BO7" s="374"/>
      <c r="BP7" s="374"/>
      <c r="BQ7" s="374"/>
      <c r="BR7" s="374"/>
      <c r="BS7" s="374"/>
      <c r="BT7" s="374"/>
      <c r="BU7" s="969"/>
      <c r="BV7" s="969"/>
      <c r="BW7" s="374"/>
      <c r="BX7" s="374"/>
      <c r="BY7" s="374"/>
      <c r="BZ7" s="37"/>
    </row>
    <row r="8" spans="1:78" s="35" customFormat="1" ht="21" customHeight="1" x14ac:dyDescent="0.25">
      <c r="A8" s="333">
        <v>7</v>
      </c>
      <c r="B8" s="34" t="s">
        <v>969</v>
      </c>
      <c r="C8" s="34" t="s">
        <v>1887</v>
      </c>
      <c r="D8" s="454" t="s">
        <v>1548</v>
      </c>
      <c r="E8" s="454" t="s">
        <v>1570</v>
      </c>
      <c r="F8" s="454"/>
      <c r="G8" s="454"/>
      <c r="H8" s="454"/>
      <c r="I8" s="643"/>
      <c r="J8" s="583">
        <v>0</v>
      </c>
      <c r="K8" s="583">
        <f>Таблица7[[#This Row],[Размер отряда минимум]]*1.25</f>
        <v>0</v>
      </c>
      <c r="L8" s="583">
        <f>Таблица7[[#This Row],[Размер отряда норма]]*1.5</f>
        <v>0</v>
      </c>
      <c r="M8" s="584">
        <f>Таблица7[[#This Row],[Размер отряда минимум]]*2.5</f>
        <v>0</v>
      </c>
      <c r="N8" s="584"/>
      <c r="O8" s="584"/>
      <c r="P8" s="584"/>
      <c r="Q8" s="584"/>
      <c r="R8" s="35" t="s">
        <v>980</v>
      </c>
      <c r="S8" s="763" t="s">
        <v>1891</v>
      </c>
      <c r="T8" s="838" t="s">
        <v>1032</v>
      </c>
      <c r="U8" s="170" t="s">
        <v>974</v>
      </c>
      <c r="V8" s="764" t="s">
        <v>1894</v>
      </c>
      <c r="AD8" s="170"/>
      <c r="AE8" s="170"/>
      <c r="AJ8" s="170"/>
      <c r="AK8" s="170"/>
      <c r="AL8" s="213" t="s">
        <v>985</v>
      </c>
      <c r="AM8" s="35" t="s">
        <v>978</v>
      </c>
      <c r="AN8" s="763" t="s">
        <v>1911</v>
      </c>
      <c r="AO8" s="763" t="s">
        <v>1899</v>
      </c>
      <c r="AP8" s="35" t="s">
        <v>980</v>
      </c>
      <c r="AQ8" s="763" t="s">
        <v>1891</v>
      </c>
      <c r="AS8" s="35">
        <v>1500</v>
      </c>
      <c r="AT8" s="36"/>
      <c r="AU8" s="405"/>
      <c r="AV8" s="405"/>
      <c r="AW8" s="405"/>
      <c r="AX8" s="405"/>
      <c r="AY8" s="405"/>
      <c r="AZ8" s="405"/>
      <c r="BA8" s="703"/>
      <c r="BB8" s="405"/>
      <c r="BC8" s="405"/>
      <c r="BD8" s="405"/>
      <c r="BE8" s="405"/>
      <c r="BF8" s="405"/>
      <c r="BG8" s="405"/>
      <c r="BH8" s="405"/>
      <c r="BI8" s="405"/>
      <c r="BJ8" s="405"/>
      <c r="BK8" s="1006"/>
      <c r="BL8" s="1006"/>
      <c r="BM8" s="374"/>
      <c r="BN8" s="969"/>
      <c r="BO8" s="374"/>
      <c r="BP8" s="374"/>
      <c r="BQ8" s="374"/>
      <c r="BR8" s="374"/>
      <c r="BS8" s="374"/>
      <c r="BT8" s="374"/>
      <c r="BU8" s="969"/>
      <c r="BV8" s="969"/>
      <c r="BW8" s="374"/>
      <c r="BX8" s="374"/>
      <c r="BY8" s="374"/>
      <c r="BZ8" s="37"/>
    </row>
    <row r="9" spans="1:78" s="35" customFormat="1" ht="21" customHeight="1" x14ac:dyDescent="0.25">
      <c r="A9" s="333">
        <v>8</v>
      </c>
      <c r="B9" s="34" t="s">
        <v>970</v>
      </c>
      <c r="C9" s="34" t="s">
        <v>1889</v>
      </c>
      <c r="D9" s="454" t="s">
        <v>1548</v>
      </c>
      <c r="E9" s="454" t="s">
        <v>1570</v>
      </c>
      <c r="F9" s="454"/>
      <c r="G9" s="454"/>
      <c r="H9" s="454"/>
      <c r="I9" s="643"/>
      <c r="J9" s="583">
        <v>0</v>
      </c>
      <c r="K9" s="583">
        <f>Таблица7[[#This Row],[Размер отряда минимум]]*1.25</f>
        <v>0</v>
      </c>
      <c r="L9" s="583">
        <f>Таблица7[[#This Row],[Размер отряда норма]]*1.5</f>
        <v>0</v>
      </c>
      <c r="M9" s="584">
        <f>Таблица7[[#This Row],[Размер отряда минимум]]*2.5</f>
        <v>0</v>
      </c>
      <c r="N9" s="584"/>
      <c r="O9" s="584"/>
      <c r="P9" s="584"/>
      <c r="Q9" s="584"/>
      <c r="R9" s="35" t="s">
        <v>980</v>
      </c>
      <c r="S9" s="763" t="s">
        <v>1891</v>
      </c>
      <c r="T9" s="838" t="s">
        <v>1032</v>
      </c>
      <c r="U9" s="839" t="s">
        <v>2269</v>
      </c>
      <c r="V9" s="764" t="s">
        <v>1895</v>
      </c>
      <c r="AD9" s="170"/>
      <c r="AE9" s="170"/>
      <c r="AJ9" s="170"/>
      <c r="AK9" s="170"/>
      <c r="AL9" s="213" t="s">
        <v>985</v>
      </c>
      <c r="AM9" s="35" t="s">
        <v>978</v>
      </c>
      <c r="AN9" s="763" t="s">
        <v>1911</v>
      </c>
      <c r="AO9" s="763" t="s">
        <v>1899</v>
      </c>
      <c r="AP9" s="35" t="s">
        <v>980</v>
      </c>
      <c r="AQ9" s="763" t="s">
        <v>1891</v>
      </c>
      <c r="AS9" s="35">
        <v>1500</v>
      </c>
      <c r="AT9" s="36"/>
      <c r="AU9" s="405"/>
      <c r="AV9" s="405"/>
      <c r="AW9" s="405"/>
      <c r="AX9" s="405"/>
      <c r="AY9" s="405"/>
      <c r="AZ9" s="405"/>
      <c r="BA9" s="703"/>
      <c r="BB9" s="405"/>
      <c r="BC9" s="405"/>
      <c r="BD9" s="405"/>
      <c r="BE9" s="405"/>
      <c r="BF9" s="405"/>
      <c r="BG9" s="405"/>
      <c r="BH9" s="405"/>
      <c r="BI9" s="405"/>
      <c r="BJ9" s="405"/>
      <c r="BK9" s="1006"/>
      <c r="BL9" s="1006"/>
      <c r="BM9" s="374"/>
      <c r="BN9" s="969"/>
      <c r="BO9" s="374"/>
      <c r="BP9" s="374"/>
      <c r="BQ9" s="374"/>
      <c r="BR9" s="374"/>
      <c r="BS9" s="374"/>
      <c r="BT9" s="374"/>
      <c r="BU9" s="969"/>
      <c r="BV9" s="969"/>
      <c r="BW9" s="374"/>
      <c r="BX9" s="374"/>
      <c r="BY9" s="374"/>
      <c r="BZ9" s="37"/>
    </row>
    <row r="10" spans="1:78" s="35" customFormat="1" ht="21" customHeight="1" x14ac:dyDescent="0.25">
      <c r="A10" s="333">
        <v>9</v>
      </c>
      <c r="B10" s="463" t="s">
        <v>971</v>
      </c>
      <c r="C10" s="463" t="s">
        <v>1890</v>
      </c>
      <c r="D10" s="465" t="s">
        <v>1548</v>
      </c>
      <c r="E10" s="454" t="s">
        <v>1570</v>
      </c>
      <c r="F10" s="454"/>
      <c r="G10" s="454"/>
      <c r="H10" s="454"/>
      <c r="I10" s="643"/>
      <c r="J10" s="583">
        <v>0</v>
      </c>
      <c r="K10" s="583">
        <f>Таблица7[[#This Row],[Размер отряда минимум]]*1.25</f>
        <v>0</v>
      </c>
      <c r="L10" s="583">
        <f>Таблица7[[#This Row],[Размер отряда норма]]*1.5</f>
        <v>0</v>
      </c>
      <c r="M10" s="583">
        <f>Таблица7[[#This Row],[Размер отряда минимум]]*2.5</f>
        <v>0</v>
      </c>
      <c r="N10" s="583"/>
      <c r="O10" s="583"/>
      <c r="P10" s="583"/>
      <c r="Q10" s="583"/>
      <c r="R10" s="170" t="s">
        <v>980</v>
      </c>
      <c r="S10" s="763" t="s">
        <v>1891</v>
      </c>
      <c r="T10" s="838" t="s">
        <v>1032</v>
      </c>
      <c r="U10" s="728" t="s">
        <v>1159</v>
      </c>
      <c r="V10" s="764" t="s">
        <v>1896</v>
      </c>
      <c r="X10" s="170"/>
      <c r="Y10" s="170"/>
      <c r="Z10" s="170"/>
      <c r="AA10" s="170"/>
      <c r="AB10" s="170"/>
      <c r="AC10" s="170"/>
      <c r="AD10" s="170"/>
      <c r="AE10" s="170"/>
      <c r="AJ10" s="170"/>
      <c r="AK10" s="170"/>
      <c r="AL10" s="213" t="s">
        <v>985</v>
      </c>
      <c r="AM10" s="170" t="s">
        <v>978</v>
      </c>
      <c r="AN10" s="763" t="s">
        <v>1911</v>
      </c>
      <c r="AO10" s="763" t="s">
        <v>1899</v>
      </c>
      <c r="AP10" s="170" t="s">
        <v>980</v>
      </c>
      <c r="AQ10" s="763" t="s">
        <v>1891</v>
      </c>
      <c r="AR10" s="170"/>
      <c r="AS10" s="35">
        <v>1500</v>
      </c>
      <c r="AT10" s="36"/>
      <c r="AU10" s="406"/>
      <c r="AV10" s="405"/>
      <c r="AW10" s="405"/>
      <c r="AX10" s="405"/>
      <c r="AY10" s="405"/>
      <c r="AZ10" s="405"/>
      <c r="BA10" s="703"/>
      <c r="BB10" s="405"/>
      <c r="BC10" s="405"/>
      <c r="BD10" s="405"/>
      <c r="BE10" s="405"/>
      <c r="BF10" s="405"/>
      <c r="BG10" s="405"/>
      <c r="BH10" s="405"/>
      <c r="BI10" s="405"/>
      <c r="BJ10" s="405"/>
      <c r="BK10" s="1007"/>
      <c r="BL10" s="1007"/>
      <c r="BM10" s="466"/>
      <c r="BN10" s="970"/>
      <c r="BO10" s="466"/>
      <c r="BP10" s="466"/>
      <c r="BQ10" s="466"/>
      <c r="BR10" s="466"/>
      <c r="BS10" s="466"/>
      <c r="BT10" s="466"/>
      <c r="BU10" s="970"/>
      <c r="BV10" s="970"/>
      <c r="BW10" s="466"/>
      <c r="BX10" s="466"/>
      <c r="BY10" s="466"/>
      <c r="BZ10" s="37"/>
    </row>
    <row r="11" spans="1:78" s="35" customFormat="1" ht="21" customHeight="1" x14ac:dyDescent="0.25">
      <c r="A11" s="333">
        <v>10</v>
      </c>
      <c r="B11" s="34" t="s">
        <v>2266</v>
      </c>
      <c r="C11" s="34" t="s">
        <v>2267</v>
      </c>
      <c r="D11" s="454" t="s">
        <v>1548</v>
      </c>
      <c r="E11" s="454" t="s">
        <v>1570</v>
      </c>
      <c r="F11" s="454"/>
      <c r="G11" s="454"/>
      <c r="H11" s="454"/>
      <c r="I11" s="643"/>
      <c r="J11" s="583">
        <v>0</v>
      </c>
      <c r="K11" s="583">
        <f>Таблица7[[#This Row],[Размер отряда минимум]]*1.25</f>
        <v>0</v>
      </c>
      <c r="L11" s="583">
        <f>Таблица7[[#This Row],[Размер отряда норма]]*1.5</f>
        <v>0</v>
      </c>
      <c r="M11" s="584">
        <f>Таблица7[[#This Row],[Размер отряда минимум]]*2.5</f>
        <v>0</v>
      </c>
      <c r="N11" s="584"/>
      <c r="O11" s="584"/>
      <c r="P11" s="584"/>
      <c r="Q11" s="584"/>
      <c r="R11" s="35" t="s">
        <v>980</v>
      </c>
      <c r="S11" s="763" t="s">
        <v>1891</v>
      </c>
      <c r="T11" s="838" t="s">
        <v>1032</v>
      </c>
      <c r="U11" s="839" t="s">
        <v>2266</v>
      </c>
      <c r="V11" s="764" t="s">
        <v>2270</v>
      </c>
      <c r="AD11" s="170"/>
      <c r="AE11" s="170"/>
      <c r="AJ11" s="170"/>
      <c r="AK11" s="170"/>
      <c r="AL11" s="213" t="s">
        <v>985</v>
      </c>
      <c r="AM11" s="35" t="s">
        <v>977</v>
      </c>
      <c r="AN11" s="763" t="s">
        <v>1910</v>
      </c>
      <c r="AO11" s="763" t="s">
        <v>1898</v>
      </c>
      <c r="AP11" s="35" t="s">
        <v>980</v>
      </c>
      <c r="AQ11" s="763" t="s">
        <v>1891</v>
      </c>
      <c r="AS11" s="35">
        <v>1550</v>
      </c>
      <c r="AT11" s="36"/>
      <c r="AU11" s="405"/>
      <c r="AV11" s="405"/>
      <c r="AW11" s="405"/>
      <c r="AX11" s="405"/>
      <c r="AY11" s="405"/>
      <c r="AZ11" s="405"/>
      <c r="BA11" s="703"/>
      <c r="BB11" s="405"/>
      <c r="BC11" s="405"/>
      <c r="BD11" s="405"/>
      <c r="BE11" s="405"/>
      <c r="BF11" s="405"/>
      <c r="BG11" s="405"/>
      <c r="BH11" s="405"/>
      <c r="BI11" s="405"/>
      <c r="BJ11" s="405"/>
      <c r="BK11" s="1006"/>
      <c r="BL11" s="1006"/>
      <c r="BM11" s="374"/>
      <c r="BN11" s="969"/>
      <c r="BO11" s="374"/>
      <c r="BP11" s="374"/>
      <c r="BQ11" s="374"/>
      <c r="BR11" s="374"/>
      <c r="BS11" s="374"/>
      <c r="BT11" s="374"/>
      <c r="BU11" s="969"/>
      <c r="BV11" s="969"/>
      <c r="BW11" s="374"/>
      <c r="BX11" s="374"/>
      <c r="BY11" s="374"/>
      <c r="BZ11" s="37"/>
    </row>
    <row r="12" spans="1:78" s="35" customFormat="1" ht="21" customHeight="1" x14ac:dyDescent="0.25">
      <c r="A12" s="333">
        <v>11</v>
      </c>
      <c r="B12" s="34" t="s">
        <v>967</v>
      </c>
      <c r="C12" s="34" t="s">
        <v>1886</v>
      </c>
      <c r="D12" s="454" t="s">
        <v>1548</v>
      </c>
      <c r="E12" s="454" t="s">
        <v>1570</v>
      </c>
      <c r="F12" s="454"/>
      <c r="G12" s="454"/>
      <c r="H12" s="454"/>
      <c r="I12" s="643"/>
      <c r="J12" s="583">
        <v>0</v>
      </c>
      <c r="K12" s="583">
        <f>Таблица7[[#This Row],[Размер отряда минимум]]*1.25</f>
        <v>0</v>
      </c>
      <c r="L12" s="583">
        <f>Таблица7[[#This Row],[Размер отряда норма]]*1.5</f>
        <v>0</v>
      </c>
      <c r="M12" s="584">
        <f>Таблица7[[#This Row],[Размер отряда минимум]]*2.5</f>
        <v>0</v>
      </c>
      <c r="N12" s="584"/>
      <c r="O12" s="584"/>
      <c r="P12" s="584"/>
      <c r="Q12" s="584"/>
      <c r="R12" s="38" t="s">
        <v>981</v>
      </c>
      <c r="S12" s="763" t="s">
        <v>1892</v>
      </c>
      <c r="T12" s="838" t="s">
        <v>1032</v>
      </c>
      <c r="U12" s="839" t="s">
        <v>2268</v>
      </c>
      <c r="V12" s="764" t="s">
        <v>1893</v>
      </c>
      <c r="AD12" s="170"/>
      <c r="AE12" s="170"/>
      <c r="AJ12" s="170"/>
      <c r="AK12" s="170"/>
      <c r="AL12" s="213" t="s">
        <v>985</v>
      </c>
      <c r="AM12" s="35" t="s">
        <v>977</v>
      </c>
      <c r="AN12" s="763" t="s">
        <v>1910</v>
      </c>
      <c r="AO12" s="763" t="s">
        <v>1898</v>
      </c>
      <c r="AP12" s="38" t="s">
        <v>981</v>
      </c>
      <c r="AQ12" s="763" t="s">
        <v>1892</v>
      </c>
      <c r="AS12" s="35">
        <v>1550</v>
      </c>
      <c r="AT12" s="36"/>
      <c r="AU12" s="405"/>
      <c r="AV12" s="405"/>
      <c r="AW12" s="405"/>
      <c r="AX12" s="405"/>
      <c r="AY12" s="405"/>
      <c r="AZ12" s="405"/>
      <c r="BA12" s="703"/>
      <c r="BB12" s="405"/>
      <c r="BC12" s="405"/>
      <c r="BD12" s="405"/>
      <c r="BE12" s="405"/>
      <c r="BF12" s="405"/>
      <c r="BG12" s="405"/>
      <c r="BH12" s="405"/>
      <c r="BI12" s="405"/>
      <c r="BJ12" s="405"/>
      <c r="BK12" s="1006"/>
      <c r="BL12" s="1006"/>
      <c r="BM12" s="374"/>
      <c r="BN12" s="969"/>
      <c r="BO12" s="374"/>
      <c r="BP12" s="374"/>
      <c r="BQ12" s="374"/>
      <c r="BR12" s="374"/>
      <c r="BS12" s="374"/>
      <c r="BT12" s="374"/>
      <c r="BU12" s="969"/>
      <c r="BV12" s="969"/>
      <c r="BW12" s="374"/>
      <c r="BX12" s="374"/>
      <c r="BY12" s="374"/>
      <c r="BZ12" s="37"/>
    </row>
    <row r="13" spans="1:78" s="35" customFormat="1" ht="21" customHeight="1" x14ac:dyDescent="0.25">
      <c r="A13" s="333">
        <v>12</v>
      </c>
      <c r="B13" s="34" t="s">
        <v>968</v>
      </c>
      <c r="C13" s="34" t="s">
        <v>1888</v>
      </c>
      <c r="D13" s="454" t="s">
        <v>1548</v>
      </c>
      <c r="E13" s="454" t="s">
        <v>1570</v>
      </c>
      <c r="F13" s="454"/>
      <c r="G13" s="454"/>
      <c r="H13" s="454"/>
      <c r="I13" s="643"/>
      <c r="J13" s="583">
        <v>0</v>
      </c>
      <c r="K13" s="583">
        <f>Таблица7[[#This Row],[Размер отряда минимум]]*1.25</f>
        <v>0</v>
      </c>
      <c r="L13" s="583">
        <f>Таблица7[[#This Row],[Размер отряда норма]]*1.5</f>
        <v>0</v>
      </c>
      <c r="M13" s="584">
        <f>Таблица7[[#This Row],[Размер отряда минимум]]*2.5</f>
        <v>0</v>
      </c>
      <c r="N13" s="584"/>
      <c r="O13" s="584"/>
      <c r="P13" s="584"/>
      <c r="Q13" s="584"/>
      <c r="R13" s="38" t="s">
        <v>981</v>
      </c>
      <c r="S13" s="763" t="s">
        <v>1892</v>
      </c>
      <c r="T13" s="838" t="s">
        <v>1032</v>
      </c>
      <c r="U13" s="170" t="s">
        <v>973</v>
      </c>
      <c r="V13" s="764" t="s">
        <v>1888</v>
      </c>
      <c r="AD13" s="170"/>
      <c r="AE13" s="170"/>
      <c r="AF13" s="237"/>
      <c r="AG13" s="237"/>
      <c r="AJ13" s="170"/>
      <c r="AK13" s="170"/>
      <c r="AL13" s="213" t="s">
        <v>985</v>
      </c>
      <c r="AM13" s="35" t="s">
        <v>977</v>
      </c>
      <c r="AN13" s="763" t="s">
        <v>1910</v>
      </c>
      <c r="AO13" s="763" t="s">
        <v>1898</v>
      </c>
      <c r="AP13" s="38" t="s">
        <v>981</v>
      </c>
      <c r="AQ13" s="763" t="s">
        <v>1892</v>
      </c>
      <c r="AS13" s="35">
        <v>1550</v>
      </c>
      <c r="AT13" s="36"/>
      <c r="AU13" s="405"/>
      <c r="AV13" s="405"/>
      <c r="AW13" s="405"/>
      <c r="AX13" s="405"/>
      <c r="AY13" s="405"/>
      <c r="AZ13" s="405"/>
      <c r="BA13" s="703"/>
      <c r="BB13" s="405"/>
      <c r="BC13" s="405"/>
      <c r="BD13" s="405"/>
      <c r="BE13" s="405"/>
      <c r="BF13" s="405"/>
      <c r="BG13" s="405"/>
      <c r="BH13" s="405"/>
      <c r="BI13" s="405"/>
      <c r="BJ13" s="405"/>
      <c r="BK13" s="1006"/>
      <c r="BL13" s="1006"/>
      <c r="BM13" s="374"/>
      <c r="BN13" s="969"/>
      <c r="BO13" s="374"/>
      <c r="BP13" s="374"/>
      <c r="BQ13" s="374"/>
      <c r="BR13" s="374"/>
      <c r="BS13" s="374"/>
      <c r="BT13" s="374"/>
      <c r="BU13" s="969"/>
      <c r="BV13" s="969"/>
      <c r="BW13" s="374"/>
      <c r="BX13" s="374"/>
      <c r="BY13" s="374"/>
      <c r="BZ13" s="37"/>
    </row>
    <row r="14" spans="1:78" s="35" customFormat="1" ht="21" customHeight="1" x14ac:dyDescent="0.25">
      <c r="A14" s="333">
        <v>13</v>
      </c>
      <c r="B14" s="34" t="s">
        <v>969</v>
      </c>
      <c r="C14" s="34" t="s">
        <v>1887</v>
      </c>
      <c r="D14" s="454" t="s">
        <v>1548</v>
      </c>
      <c r="E14" s="454" t="s">
        <v>1570</v>
      </c>
      <c r="F14" s="454"/>
      <c r="G14" s="454"/>
      <c r="H14" s="454"/>
      <c r="I14" s="643"/>
      <c r="J14" s="583">
        <v>0</v>
      </c>
      <c r="K14" s="583">
        <f>Таблица7[[#This Row],[Размер отряда минимум]]*1.25</f>
        <v>0</v>
      </c>
      <c r="L14" s="583">
        <f>Таблица7[[#This Row],[Размер отряда норма]]*1.5</f>
        <v>0</v>
      </c>
      <c r="M14" s="584">
        <f>Таблица7[[#This Row],[Размер отряда минимум]]*2.5</f>
        <v>0</v>
      </c>
      <c r="N14" s="584"/>
      <c r="O14" s="584"/>
      <c r="P14" s="584"/>
      <c r="Q14" s="584"/>
      <c r="R14" s="38" t="s">
        <v>981</v>
      </c>
      <c r="S14" s="763" t="s">
        <v>1892</v>
      </c>
      <c r="T14" s="838" t="s">
        <v>1032</v>
      </c>
      <c r="U14" s="170" t="s">
        <v>974</v>
      </c>
      <c r="V14" s="764" t="s">
        <v>1894</v>
      </c>
      <c r="AD14" s="170"/>
      <c r="AE14" s="170"/>
      <c r="AJ14" s="170"/>
      <c r="AK14" s="170"/>
      <c r="AL14" s="213" t="s">
        <v>985</v>
      </c>
      <c r="AM14" s="35" t="s">
        <v>978</v>
      </c>
      <c r="AN14" s="763" t="s">
        <v>1911</v>
      </c>
      <c r="AO14" s="763" t="s">
        <v>1899</v>
      </c>
      <c r="AP14" s="38" t="s">
        <v>981</v>
      </c>
      <c r="AQ14" s="763" t="s">
        <v>1892</v>
      </c>
      <c r="AS14" s="35">
        <v>1550</v>
      </c>
      <c r="AT14" s="36"/>
      <c r="AU14" s="405"/>
      <c r="AV14" s="405"/>
      <c r="AW14" s="405"/>
      <c r="AX14" s="405"/>
      <c r="AY14" s="405"/>
      <c r="AZ14" s="405"/>
      <c r="BA14" s="703"/>
      <c r="BB14" s="405"/>
      <c r="BC14" s="405"/>
      <c r="BD14" s="405"/>
      <c r="BE14" s="405"/>
      <c r="BF14" s="405"/>
      <c r="BG14" s="405"/>
      <c r="BH14" s="405"/>
      <c r="BI14" s="405"/>
      <c r="BJ14" s="405"/>
      <c r="BK14" s="1006"/>
      <c r="BL14" s="1006"/>
      <c r="BM14" s="374"/>
      <c r="BN14" s="969"/>
      <c r="BO14" s="374"/>
      <c r="BP14" s="374"/>
      <c r="BQ14" s="374"/>
      <c r="BR14" s="374"/>
      <c r="BS14" s="374"/>
      <c r="BT14" s="374"/>
      <c r="BU14" s="969"/>
      <c r="BV14" s="969"/>
      <c r="BW14" s="374"/>
      <c r="BX14" s="374"/>
      <c r="BY14" s="374"/>
      <c r="BZ14" s="37"/>
    </row>
    <row r="15" spans="1:78" s="35" customFormat="1" ht="21" customHeight="1" x14ac:dyDescent="0.25">
      <c r="A15" s="333">
        <v>14</v>
      </c>
      <c r="B15" s="34" t="s">
        <v>970</v>
      </c>
      <c r="C15" s="34" t="s">
        <v>1889</v>
      </c>
      <c r="D15" s="465" t="s">
        <v>1548</v>
      </c>
      <c r="E15" s="465" t="s">
        <v>1570</v>
      </c>
      <c r="F15" s="465"/>
      <c r="G15" s="465"/>
      <c r="H15" s="465"/>
      <c r="I15" s="643"/>
      <c r="J15" s="583">
        <v>0</v>
      </c>
      <c r="K15" s="583">
        <f>Таблица7[[#This Row],[Размер отряда минимум]]*1.25</f>
        <v>0</v>
      </c>
      <c r="L15" s="583">
        <f>Таблица7[[#This Row],[Размер отряда норма]]*1.5</f>
        <v>0</v>
      </c>
      <c r="M15" s="583">
        <f>Таблица7[[#This Row],[Размер отряда минимум]]*2.5</f>
        <v>0</v>
      </c>
      <c r="N15" s="583"/>
      <c r="O15" s="583"/>
      <c r="P15" s="583"/>
      <c r="Q15" s="583"/>
      <c r="R15" s="38" t="s">
        <v>981</v>
      </c>
      <c r="S15" s="763" t="s">
        <v>1892</v>
      </c>
      <c r="T15" s="838" t="s">
        <v>1032</v>
      </c>
      <c r="U15" s="839" t="s">
        <v>2269</v>
      </c>
      <c r="V15" s="764" t="s">
        <v>1895</v>
      </c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213" t="s">
        <v>985</v>
      </c>
      <c r="AM15" s="35" t="s">
        <v>978</v>
      </c>
      <c r="AN15" s="763" t="s">
        <v>1911</v>
      </c>
      <c r="AO15" s="763" t="s">
        <v>1899</v>
      </c>
      <c r="AP15" s="38" t="s">
        <v>981</v>
      </c>
      <c r="AQ15" s="763" t="s">
        <v>1892</v>
      </c>
      <c r="AR15" s="170"/>
      <c r="AS15" s="170">
        <v>1550</v>
      </c>
      <c r="AT15" s="36"/>
      <c r="AU15" s="406"/>
      <c r="AV15" s="405"/>
      <c r="AW15" s="405"/>
      <c r="AX15" s="405"/>
      <c r="AY15" s="405"/>
      <c r="AZ15" s="405"/>
      <c r="BA15" s="703"/>
      <c r="BB15" s="405"/>
      <c r="BC15" s="405"/>
      <c r="BD15" s="405"/>
      <c r="BE15" s="405"/>
      <c r="BF15" s="405"/>
      <c r="BG15" s="405"/>
      <c r="BH15" s="405"/>
      <c r="BI15" s="405"/>
      <c r="BJ15" s="405"/>
      <c r="BK15" s="1006"/>
      <c r="BL15" s="1006"/>
      <c r="BM15" s="466"/>
      <c r="BN15" s="970"/>
      <c r="BO15" s="466"/>
      <c r="BP15" s="466"/>
      <c r="BQ15" s="466"/>
      <c r="BR15" s="466"/>
      <c r="BS15" s="466"/>
      <c r="BT15" s="466"/>
      <c r="BU15" s="970"/>
      <c r="BV15" s="970"/>
      <c r="BW15" s="466"/>
      <c r="BX15" s="466"/>
      <c r="BY15" s="466"/>
      <c r="BZ15" s="37"/>
    </row>
    <row r="16" spans="1:78" s="35" customFormat="1" ht="21" customHeight="1" x14ac:dyDescent="0.25">
      <c r="A16" s="333">
        <v>15</v>
      </c>
      <c r="B16" s="463" t="s">
        <v>971</v>
      </c>
      <c r="C16" s="463" t="s">
        <v>1890</v>
      </c>
      <c r="D16" s="454" t="s">
        <v>1548</v>
      </c>
      <c r="E16" s="454" t="s">
        <v>1570</v>
      </c>
      <c r="F16" s="454"/>
      <c r="G16" s="454"/>
      <c r="H16" s="454"/>
      <c r="I16" s="643"/>
      <c r="J16" s="583">
        <v>0</v>
      </c>
      <c r="K16" s="583">
        <f>Таблица7[[#This Row],[Размер отряда минимум]]*1.25</f>
        <v>0</v>
      </c>
      <c r="L16" s="583">
        <f>Таблица7[[#This Row],[Размер отряда норма]]*1.5</f>
        <v>0</v>
      </c>
      <c r="M16" s="584">
        <f>Таблица7[[#This Row],[Размер отряда минимум]]*2.5</f>
        <v>0</v>
      </c>
      <c r="N16" s="584"/>
      <c r="O16" s="584"/>
      <c r="P16" s="584"/>
      <c r="Q16" s="584"/>
      <c r="R16" s="38" t="s">
        <v>981</v>
      </c>
      <c r="S16" s="763" t="s">
        <v>1892</v>
      </c>
      <c r="T16" s="838" t="s">
        <v>1032</v>
      </c>
      <c r="U16" s="728" t="s">
        <v>1159</v>
      </c>
      <c r="V16" s="764" t="s">
        <v>1896</v>
      </c>
      <c r="AD16" s="170"/>
      <c r="AE16" s="170"/>
      <c r="AJ16" s="170"/>
      <c r="AK16" s="170"/>
      <c r="AL16" s="213" t="s">
        <v>985</v>
      </c>
      <c r="AM16" s="170" t="s">
        <v>978</v>
      </c>
      <c r="AN16" s="763" t="s">
        <v>1911</v>
      </c>
      <c r="AO16" s="763" t="s">
        <v>1899</v>
      </c>
      <c r="AP16" s="38" t="s">
        <v>981</v>
      </c>
      <c r="AQ16" s="763" t="s">
        <v>1892</v>
      </c>
      <c r="AS16" s="35">
        <v>1500</v>
      </c>
      <c r="AT16" s="36"/>
      <c r="AU16" s="405"/>
      <c r="AV16" s="405"/>
      <c r="AW16" s="405"/>
      <c r="AX16" s="405"/>
      <c r="AY16" s="405"/>
      <c r="AZ16" s="405"/>
      <c r="BA16" s="703"/>
      <c r="BB16" s="405"/>
      <c r="BC16" s="405"/>
      <c r="BD16" s="405"/>
      <c r="BE16" s="405"/>
      <c r="BF16" s="405"/>
      <c r="BG16" s="405"/>
      <c r="BH16" s="405"/>
      <c r="BI16" s="405"/>
      <c r="BJ16" s="405"/>
      <c r="BK16" s="1006"/>
      <c r="BL16" s="1006"/>
      <c r="BM16" s="374"/>
      <c r="BN16" s="969"/>
      <c r="BO16" s="374"/>
      <c r="BP16" s="374"/>
      <c r="BQ16" s="374"/>
      <c r="BR16" s="374"/>
      <c r="BS16" s="374"/>
      <c r="BT16" s="374"/>
      <c r="BU16" s="969"/>
      <c r="BV16" s="969"/>
      <c r="BW16" s="374"/>
      <c r="BX16" s="374"/>
      <c r="BY16" s="374"/>
      <c r="BZ16" s="37"/>
    </row>
    <row r="17" spans="1:78" s="35" customFormat="1" ht="21" customHeight="1" x14ac:dyDescent="0.25">
      <c r="A17" s="333">
        <v>16</v>
      </c>
      <c r="B17" s="34" t="s">
        <v>2266</v>
      </c>
      <c r="C17" s="34" t="s">
        <v>2267</v>
      </c>
      <c r="D17" s="454" t="s">
        <v>1548</v>
      </c>
      <c r="E17" s="454" t="s">
        <v>1570</v>
      </c>
      <c r="F17" s="454"/>
      <c r="G17" s="454"/>
      <c r="H17" s="454"/>
      <c r="I17" s="643"/>
      <c r="J17" s="583">
        <v>0</v>
      </c>
      <c r="K17" s="583">
        <f>Таблица7[[#This Row],[Размер отряда минимум]]*1.25</f>
        <v>0</v>
      </c>
      <c r="L17" s="583">
        <f>Таблица7[[#This Row],[Размер отряда норма]]*1.5</f>
        <v>0</v>
      </c>
      <c r="M17" s="584">
        <f>Таблица7[[#This Row],[Размер отряда минимум]]*2.5</f>
        <v>0</v>
      </c>
      <c r="N17" s="584"/>
      <c r="O17" s="584"/>
      <c r="P17" s="584"/>
      <c r="Q17" s="584"/>
      <c r="R17" s="38" t="s">
        <v>981</v>
      </c>
      <c r="S17" s="763" t="s">
        <v>1892</v>
      </c>
      <c r="T17" s="838" t="s">
        <v>1032</v>
      </c>
      <c r="U17" s="839" t="s">
        <v>2266</v>
      </c>
      <c r="V17" s="764" t="s">
        <v>2270</v>
      </c>
      <c r="AD17" s="170"/>
      <c r="AE17" s="170"/>
      <c r="AJ17" s="170"/>
      <c r="AK17" s="170"/>
      <c r="AL17" s="213" t="s">
        <v>985</v>
      </c>
      <c r="AM17" s="35" t="s">
        <v>977</v>
      </c>
      <c r="AN17" s="763" t="s">
        <v>1910</v>
      </c>
      <c r="AO17" s="763" t="s">
        <v>1898</v>
      </c>
      <c r="AP17" s="38" t="s">
        <v>981</v>
      </c>
      <c r="AQ17" s="763" t="s">
        <v>1892</v>
      </c>
      <c r="AS17" s="35">
        <v>1500</v>
      </c>
      <c r="AT17" s="36"/>
      <c r="AU17" s="405"/>
      <c r="AV17" s="405"/>
      <c r="AW17" s="405"/>
      <c r="AX17" s="405"/>
      <c r="AY17" s="405"/>
      <c r="AZ17" s="405"/>
      <c r="BA17" s="703"/>
      <c r="BB17" s="405"/>
      <c r="BC17" s="405"/>
      <c r="BD17" s="405"/>
      <c r="BE17" s="405"/>
      <c r="BF17" s="405"/>
      <c r="BG17" s="405"/>
      <c r="BH17" s="405"/>
      <c r="BI17" s="405"/>
      <c r="BJ17" s="405"/>
      <c r="BK17" s="1006"/>
      <c r="BL17" s="1006"/>
      <c r="BM17" s="374"/>
      <c r="BN17" s="969"/>
      <c r="BO17" s="374"/>
      <c r="BP17" s="374"/>
      <c r="BQ17" s="374"/>
      <c r="BR17" s="374"/>
      <c r="BS17" s="374"/>
      <c r="BT17" s="374"/>
      <c r="BU17" s="969"/>
      <c r="BV17" s="969"/>
      <c r="BW17" s="374"/>
      <c r="BX17" s="374"/>
      <c r="BY17" s="374"/>
      <c r="BZ17" s="37"/>
    </row>
    <row r="18" spans="1:78" s="35" customFormat="1" ht="21" customHeight="1" x14ac:dyDescent="0.25">
      <c r="A18" s="333">
        <v>17</v>
      </c>
      <c r="B18" s="34" t="s">
        <v>967</v>
      </c>
      <c r="C18" s="34" t="s">
        <v>1886</v>
      </c>
      <c r="D18" s="454" t="s">
        <v>1548</v>
      </c>
      <c r="E18" s="454" t="s">
        <v>1570</v>
      </c>
      <c r="F18" s="454"/>
      <c r="G18" s="454"/>
      <c r="H18" s="454"/>
      <c r="I18" s="643"/>
      <c r="J18" s="583">
        <v>0</v>
      </c>
      <c r="K18" s="583">
        <f>Таблица7[[#This Row],[Размер отряда минимум]]*1.25</f>
        <v>0</v>
      </c>
      <c r="L18" s="583">
        <f>Таблица7[[#This Row],[Размер отряда норма]]*1.5</f>
        <v>0</v>
      </c>
      <c r="M18" s="584">
        <f>Таблица7[[#This Row],[Размер отряда минимум]]*2.5</f>
        <v>0</v>
      </c>
      <c r="N18" s="584"/>
      <c r="O18" s="584"/>
      <c r="P18" s="584"/>
      <c r="Q18" s="584"/>
      <c r="R18" s="838" t="s">
        <v>2271</v>
      </c>
      <c r="S18" s="838" t="s">
        <v>2272</v>
      </c>
      <c r="T18" s="838" t="s">
        <v>1032</v>
      </c>
      <c r="U18" s="170" t="s">
        <v>2268</v>
      </c>
      <c r="V18" s="764" t="s">
        <v>1893</v>
      </c>
      <c r="AD18" s="170"/>
      <c r="AE18" s="170"/>
      <c r="AJ18" s="170"/>
      <c r="AK18" s="170"/>
      <c r="AL18" s="213" t="s">
        <v>985</v>
      </c>
      <c r="AM18" s="35" t="s">
        <v>977</v>
      </c>
      <c r="AN18" s="763" t="s">
        <v>1910</v>
      </c>
      <c r="AO18" s="763" t="s">
        <v>1898</v>
      </c>
      <c r="AP18" s="38" t="s">
        <v>982</v>
      </c>
      <c r="AQ18" s="763" t="s">
        <v>1897</v>
      </c>
      <c r="AS18" s="35">
        <v>1500</v>
      </c>
      <c r="AT18" s="36"/>
      <c r="AU18" s="405"/>
      <c r="AV18" s="405"/>
      <c r="AW18" s="405"/>
      <c r="AX18" s="405"/>
      <c r="AY18" s="405"/>
      <c r="AZ18" s="405"/>
      <c r="BA18" s="703"/>
      <c r="BB18" s="405"/>
      <c r="BC18" s="405"/>
      <c r="BD18" s="405"/>
      <c r="BE18" s="405"/>
      <c r="BF18" s="405"/>
      <c r="BG18" s="405"/>
      <c r="BH18" s="405"/>
      <c r="BI18" s="405"/>
      <c r="BJ18" s="405"/>
      <c r="BK18" s="1006"/>
      <c r="BL18" s="1006"/>
      <c r="BM18" s="374"/>
      <c r="BN18" s="969"/>
      <c r="BO18" s="374"/>
      <c r="BP18" s="374"/>
      <c r="BQ18" s="374"/>
      <c r="BR18" s="374"/>
      <c r="BS18" s="374"/>
      <c r="BT18" s="374"/>
      <c r="BU18" s="969"/>
      <c r="BV18" s="969"/>
      <c r="BW18" s="374"/>
      <c r="BX18" s="374"/>
      <c r="BY18" s="374"/>
      <c r="BZ18" s="37"/>
    </row>
    <row r="19" spans="1:78" s="35" customFormat="1" ht="21" customHeight="1" x14ac:dyDescent="0.25">
      <c r="A19" s="333">
        <v>18</v>
      </c>
      <c r="B19" s="34" t="s">
        <v>968</v>
      </c>
      <c r="C19" s="34" t="s">
        <v>1888</v>
      </c>
      <c r="D19" s="454" t="s">
        <v>1548</v>
      </c>
      <c r="E19" s="454" t="s">
        <v>1570</v>
      </c>
      <c r="F19" s="454"/>
      <c r="G19" s="454"/>
      <c r="H19" s="454"/>
      <c r="I19" s="643"/>
      <c r="J19" s="583">
        <v>0</v>
      </c>
      <c r="K19" s="583">
        <f>Таблица7[[#This Row],[Размер отряда минимум]]*1.25</f>
        <v>0</v>
      </c>
      <c r="L19" s="583">
        <f>Таблица7[[#This Row],[Размер отряда норма]]*1.5</f>
        <v>0</v>
      </c>
      <c r="M19" s="584">
        <f>Таблица7[[#This Row],[Размер отряда минимум]]*2.5</f>
        <v>0</v>
      </c>
      <c r="N19" s="584"/>
      <c r="O19" s="584"/>
      <c r="P19" s="584"/>
      <c r="Q19" s="584"/>
      <c r="R19" s="838" t="s">
        <v>2271</v>
      </c>
      <c r="S19" s="838" t="s">
        <v>2272</v>
      </c>
      <c r="T19" s="838" t="s">
        <v>1032</v>
      </c>
      <c r="U19" s="170" t="s">
        <v>973</v>
      </c>
      <c r="V19" s="764" t="s">
        <v>1888</v>
      </c>
      <c r="AD19" s="170"/>
      <c r="AE19" s="170"/>
      <c r="AJ19" s="170"/>
      <c r="AK19" s="170"/>
      <c r="AL19" s="213" t="s">
        <v>985</v>
      </c>
      <c r="AM19" s="35" t="s">
        <v>977</v>
      </c>
      <c r="AN19" s="763" t="s">
        <v>1910</v>
      </c>
      <c r="AO19" s="763" t="s">
        <v>1898</v>
      </c>
      <c r="AP19" s="38" t="s">
        <v>982</v>
      </c>
      <c r="AQ19" s="763" t="s">
        <v>1897</v>
      </c>
      <c r="AS19" s="35">
        <v>1500</v>
      </c>
      <c r="AT19" s="36"/>
      <c r="AU19" s="405"/>
      <c r="AV19" s="405"/>
      <c r="AW19" s="405"/>
      <c r="AX19" s="405"/>
      <c r="AY19" s="405"/>
      <c r="AZ19" s="405"/>
      <c r="BA19" s="703"/>
      <c r="BB19" s="405"/>
      <c r="BC19" s="405"/>
      <c r="BD19" s="405"/>
      <c r="BE19" s="405"/>
      <c r="BF19" s="405"/>
      <c r="BG19" s="405"/>
      <c r="BH19" s="405"/>
      <c r="BI19" s="405"/>
      <c r="BJ19" s="405"/>
      <c r="BK19" s="1006"/>
      <c r="BL19" s="1006"/>
      <c r="BM19" s="374"/>
      <c r="BN19" s="969"/>
      <c r="BO19" s="374"/>
      <c r="BP19" s="374"/>
      <c r="BQ19" s="374"/>
      <c r="BR19" s="374"/>
      <c r="BS19" s="374"/>
      <c r="BT19" s="374"/>
      <c r="BU19" s="969"/>
      <c r="BV19" s="969"/>
      <c r="BW19" s="374"/>
      <c r="BX19" s="374"/>
      <c r="BY19" s="374"/>
      <c r="BZ19" s="37"/>
    </row>
    <row r="20" spans="1:78" s="35" customFormat="1" ht="21" customHeight="1" x14ac:dyDescent="0.25">
      <c r="A20" s="333">
        <v>19</v>
      </c>
      <c r="B20" s="34" t="s">
        <v>969</v>
      </c>
      <c r="C20" s="34" t="s">
        <v>1887</v>
      </c>
      <c r="D20" s="454" t="s">
        <v>1548</v>
      </c>
      <c r="E20" s="454" t="s">
        <v>1570</v>
      </c>
      <c r="F20" s="454"/>
      <c r="G20" s="454"/>
      <c r="H20" s="454"/>
      <c r="I20" s="643"/>
      <c r="J20" s="583">
        <v>0</v>
      </c>
      <c r="K20" s="583">
        <f>Таблица7[[#This Row],[Размер отряда минимум]]*1.25</f>
        <v>0</v>
      </c>
      <c r="L20" s="583">
        <f>Таблица7[[#This Row],[Размер отряда норма]]*1.5</f>
        <v>0</v>
      </c>
      <c r="M20" s="584">
        <f>Таблица7[[#This Row],[Размер отряда минимум]]*2.5</f>
        <v>0</v>
      </c>
      <c r="N20" s="584"/>
      <c r="O20" s="584"/>
      <c r="P20" s="584"/>
      <c r="Q20" s="584"/>
      <c r="R20" s="838" t="s">
        <v>2271</v>
      </c>
      <c r="S20" s="838" t="s">
        <v>2272</v>
      </c>
      <c r="T20" s="838" t="s">
        <v>1032</v>
      </c>
      <c r="U20" s="728" t="s">
        <v>974</v>
      </c>
      <c r="V20" s="764" t="s">
        <v>1894</v>
      </c>
      <c r="AD20" s="170"/>
      <c r="AE20" s="170"/>
      <c r="AJ20" s="170"/>
      <c r="AK20" s="170"/>
      <c r="AL20" s="213" t="s">
        <v>985</v>
      </c>
      <c r="AM20" s="35" t="s">
        <v>978</v>
      </c>
      <c r="AN20" s="763" t="s">
        <v>1911</v>
      </c>
      <c r="AO20" s="763" t="s">
        <v>1899</v>
      </c>
      <c r="AP20" s="38" t="s">
        <v>982</v>
      </c>
      <c r="AQ20" s="763" t="s">
        <v>1897</v>
      </c>
      <c r="AS20" s="35">
        <v>1500</v>
      </c>
      <c r="AT20" s="36"/>
      <c r="AU20" s="405"/>
      <c r="AV20" s="405"/>
      <c r="AW20" s="405"/>
      <c r="AX20" s="405"/>
      <c r="AY20" s="405"/>
      <c r="AZ20" s="405"/>
      <c r="BA20" s="703"/>
      <c r="BB20" s="405"/>
      <c r="BC20" s="405"/>
      <c r="BD20" s="405"/>
      <c r="BE20" s="405"/>
      <c r="BF20" s="405"/>
      <c r="BG20" s="405"/>
      <c r="BH20" s="405"/>
      <c r="BI20" s="405"/>
      <c r="BJ20" s="405"/>
      <c r="BK20" s="1006"/>
      <c r="BL20" s="1006"/>
      <c r="BM20" s="374"/>
      <c r="BN20" s="969"/>
      <c r="BO20" s="374"/>
      <c r="BP20" s="374"/>
      <c r="BQ20" s="374"/>
      <c r="BR20" s="374"/>
      <c r="BS20" s="374"/>
      <c r="BT20" s="374"/>
      <c r="BU20" s="969"/>
      <c r="BV20" s="969"/>
      <c r="BW20" s="374"/>
      <c r="BX20" s="374"/>
      <c r="BY20" s="374"/>
      <c r="BZ20" s="37"/>
    </row>
    <row r="21" spans="1:78" s="35" customFormat="1" ht="21" customHeight="1" x14ac:dyDescent="0.25">
      <c r="A21" s="333">
        <v>20</v>
      </c>
      <c r="B21" s="34" t="s">
        <v>970</v>
      </c>
      <c r="C21" s="34" t="s">
        <v>1889</v>
      </c>
      <c r="D21" s="454" t="s">
        <v>1548</v>
      </c>
      <c r="E21" s="454" t="s">
        <v>1570</v>
      </c>
      <c r="F21" s="454"/>
      <c r="G21" s="454"/>
      <c r="H21" s="454"/>
      <c r="I21" s="643"/>
      <c r="J21" s="583">
        <v>0</v>
      </c>
      <c r="K21" s="583">
        <f>Таблица7[[#This Row],[Размер отряда минимум]]*1.25</f>
        <v>0</v>
      </c>
      <c r="L21" s="583">
        <f>Таблица7[[#This Row],[Размер отряда норма]]*1.5</f>
        <v>0</v>
      </c>
      <c r="M21" s="584">
        <f>Таблица7[[#This Row],[Размер отряда минимум]]*2.5</f>
        <v>0</v>
      </c>
      <c r="N21" s="584"/>
      <c r="O21" s="584"/>
      <c r="P21" s="584"/>
      <c r="Q21" s="584"/>
      <c r="R21" s="838" t="s">
        <v>2271</v>
      </c>
      <c r="S21" s="838" t="s">
        <v>2272</v>
      </c>
      <c r="T21" s="838" t="s">
        <v>1032</v>
      </c>
      <c r="U21" s="170" t="s">
        <v>2269</v>
      </c>
      <c r="V21" s="764" t="s">
        <v>1895</v>
      </c>
      <c r="AD21" s="170"/>
      <c r="AE21" s="170"/>
      <c r="AJ21" s="170"/>
      <c r="AK21" s="170"/>
      <c r="AL21" s="213" t="s">
        <v>985</v>
      </c>
      <c r="AM21" s="35" t="s">
        <v>978</v>
      </c>
      <c r="AN21" s="763" t="s">
        <v>1911</v>
      </c>
      <c r="AO21" s="763" t="s">
        <v>1899</v>
      </c>
      <c r="AP21" s="38" t="s">
        <v>982</v>
      </c>
      <c r="AQ21" s="763" t="s">
        <v>1897</v>
      </c>
      <c r="AS21" s="35">
        <v>1550</v>
      </c>
      <c r="AT21" s="36"/>
      <c r="AU21" s="405"/>
      <c r="AV21" s="405"/>
      <c r="AW21" s="405"/>
      <c r="AX21" s="405"/>
      <c r="AY21" s="405"/>
      <c r="AZ21" s="405"/>
      <c r="BA21" s="703"/>
      <c r="BB21" s="405"/>
      <c r="BC21" s="405"/>
      <c r="BD21" s="405"/>
      <c r="BE21" s="405"/>
      <c r="BF21" s="405"/>
      <c r="BG21" s="405"/>
      <c r="BH21" s="405"/>
      <c r="BI21" s="405"/>
      <c r="BJ21" s="405"/>
      <c r="BK21" s="1006"/>
      <c r="BL21" s="1006"/>
      <c r="BM21" s="374"/>
      <c r="BN21" s="969"/>
      <c r="BO21" s="374"/>
      <c r="BP21" s="374"/>
      <c r="BQ21" s="374"/>
      <c r="BR21" s="374"/>
      <c r="BS21" s="374"/>
      <c r="BT21" s="374"/>
      <c r="BU21" s="969"/>
      <c r="BV21" s="969"/>
      <c r="BW21" s="374"/>
      <c r="BX21" s="374"/>
      <c r="BY21" s="374"/>
      <c r="BZ21" s="37"/>
    </row>
    <row r="22" spans="1:78" s="35" customFormat="1" ht="21" customHeight="1" x14ac:dyDescent="0.25">
      <c r="A22" s="333">
        <v>21</v>
      </c>
      <c r="B22" s="463" t="s">
        <v>971</v>
      </c>
      <c r="C22" s="463" t="s">
        <v>1890</v>
      </c>
      <c r="D22" s="465" t="s">
        <v>1548</v>
      </c>
      <c r="E22" s="454" t="s">
        <v>1570</v>
      </c>
      <c r="F22" s="454"/>
      <c r="G22" s="454"/>
      <c r="H22" s="454"/>
      <c r="I22" s="643"/>
      <c r="J22" s="583">
        <v>0</v>
      </c>
      <c r="K22" s="583">
        <f>Таблица7[[#This Row],[Размер отряда минимум]]*1.25</f>
        <v>0</v>
      </c>
      <c r="L22" s="583">
        <f>Таблица7[[#This Row],[Размер отряда норма]]*1.5</f>
        <v>0</v>
      </c>
      <c r="M22" s="583">
        <f>Таблица7[[#This Row],[Размер отряда минимум]]*2.5</f>
        <v>0</v>
      </c>
      <c r="N22" s="583"/>
      <c r="O22" s="583"/>
      <c r="P22" s="583"/>
      <c r="Q22" s="583"/>
      <c r="R22" s="838" t="s">
        <v>2271</v>
      </c>
      <c r="S22" s="838" t="s">
        <v>2272</v>
      </c>
      <c r="T22" s="838" t="s">
        <v>1032</v>
      </c>
      <c r="U22" s="170" t="s">
        <v>1159</v>
      </c>
      <c r="V22" s="764" t="s">
        <v>1896</v>
      </c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213" t="s">
        <v>985</v>
      </c>
      <c r="AM22" s="170" t="s">
        <v>978</v>
      </c>
      <c r="AN22" s="763" t="s">
        <v>1911</v>
      </c>
      <c r="AO22" s="763" t="s">
        <v>1899</v>
      </c>
      <c r="AP22" s="38" t="s">
        <v>982</v>
      </c>
      <c r="AQ22" s="763" t="s">
        <v>1897</v>
      </c>
      <c r="AR22" s="170"/>
      <c r="AS22" s="170">
        <v>1550</v>
      </c>
      <c r="AT22" s="36"/>
      <c r="AU22" s="406"/>
      <c r="AV22" s="405"/>
      <c r="AW22" s="406"/>
      <c r="AX22" s="405"/>
      <c r="AY22" s="405"/>
      <c r="AZ22" s="405"/>
      <c r="BA22" s="703"/>
      <c r="BB22" s="405"/>
      <c r="BC22" s="405"/>
      <c r="BD22" s="406"/>
      <c r="BE22" s="405"/>
      <c r="BF22" s="405"/>
      <c r="BG22" s="405"/>
      <c r="BH22" s="405"/>
      <c r="BI22" s="405"/>
      <c r="BJ22" s="405"/>
      <c r="BK22" s="1006"/>
      <c r="BL22" s="1006"/>
      <c r="BM22" s="466"/>
      <c r="BN22" s="970"/>
      <c r="BO22" s="466"/>
      <c r="BP22" s="466"/>
      <c r="BQ22" s="466"/>
      <c r="BR22" s="466"/>
      <c r="BS22" s="466"/>
      <c r="BT22" s="466"/>
      <c r="BU22" s="970"/>
      <c r="BV22" s="970"/>
      <c r="BW22" s="466"/>
      <c r="BX22" s="466"/>
      <c r="BY22" s="466"/>
      <c r="BZ22" s="37"/>
    </row>
    <row r="23" spans="1:78" s="35" customFormat="1" ht="21" customHeight="1" x14ac:dyDescent="0.25">
      <c r="A23" s="333">
        <v>22</v>
      </c>
      <c r="B23" s="34" t="s">
        <v>2266</v>
      </c>
      <c r="C23" s="34" t="s">
        <v>2267</v>
      </c>
      <c r="D23" s="454" t="s">
        <v>1548</v>
      </c>
      <c r="E23" s="454" t="s">
        <v>1570</v>
      </c>
      <c r="F23" s="454"/>
      <c r="G23" s="454"/>
      <c r="H23" s="454"/>
      <c r="I23" s="643"/>
      <c r="J23" s="583">
        <v>0</v>
      </c>
      <c r="K23" s="583">
        <f>Таблица7[[#This Row],[Размер отряда минимум]]*1.25</f>
        <v>0</v>
      </c>
      <c r="L23" s="583">
        <f>Таблица7[[#This Row],[Размер отряда норма]]*1.5</f>
        <v>0</v>
      </c>
      <c r="M23" s="584">
        <f>Таблица7[[#This Row],[Размер отряда минимум]]*2.5</f>
        <v>0</v>
      </c>
      <c r="N23" s="584"/>
      <c r="O23" s="584"/>
      <c r="P23" s="584"/>
      <c r="Q23" s="584"/>
      <c r="R23" s="838" t="s">
        <v>2271</v>
      </c>
      <c r="S23" s="838" t="s">
        <v>2272</v>
      </c>
      <c r="T23" s="838" t="s">
        <v>1032</v>
      </c>
      <c r="U23" s="170" t="s">
        <v>2266</v>
      </c>
      <c r="V23" s="764" t="s">
        <v>2270</v>
      </c>
      <c r="AD23" s="170"/>
      <c r="AE23" s="170"/>
      <c r="AJ23" s="170"/>
      <c r="AK23" s="170"/>
      <c r="AL23" s="213" t="s">
        <v>985</v>
      </c>
      <c r="AM23" s="35" t="s">
        <v>977</v>
      </c>
      <c r="AN23" s="763" t="s">
        <v>1910</v>
      </c>
      <c r="AO23" s="763" t="s">
        <v>1898</v>
      </c>
      <c r="AP23" s="464" t="s">
        <v>982</v>
      </c>
      <c r="AQ23" s="763" t="s">
        <v>1897</v>
      </c>
      <c r="AS23" s="35">
        <v>1550</v>
      </c>
      <c r="AT23" s="36"/>
      <c r="AU23" s="405"/>
      <c r="AV23" s="405"/>
      <c r="AW23" s="405"/>
      <c r="AX23" s="405"/>
      <c r="AY23" s="405"/>
      <c r="AZ23" s="405"/>
      <c r="BA23" s="703"/>
      <c r="BB23" s="405"/>
      <c r="BC23" s="405"/>
      <c r="BD23" s="405"/>
      <c r="BE23" s="405"/>
      <c r="BF23" s="405"/>
      <c r="BG23" s="405"/>
      <c r="BH23" s="405"/>
      <c r="BI23" s="405"/>
      <c r="BJ23" s="405"/>
      <c r="BK23" s="1006"/>
      <c r="BL23" s="1006"/>
      <c r="BM23" s="374"/>
      <c r="BN23" s="969"/>
      <c r="BO23" s="374"/>
      <c r="BP23" s="374"/>
      <c r="BQ23" s="374"/>
      <c r="BR23" s="374"/>
      <c r="BS23" s="374"/>
      <c r="BT23" s="374"/>
      <c r="BU23" s="969"/>
      <c r="BV23" s="969"/>
      <c r="BW23" s="374"/>
      <c r="BX23" s="374"/>
      <c r="BY23" s="374"/>
      <c r="BZ23" s="37"/>
    </row>
    <row r="24" spans="1:78" s="40" customFormat="1" ht="40.5" customHeight="1" x14ac:dyDescent="0.25">
      <c r="A24" s="333">
        <v>23</v>
      </c>
      <c r="B24" s="288" t="s">
        <v>1233</v>
      </c>
      <c r="C24" s="765" t="s">
        <v>1902</v>
      </c>
      <c r="D24" s="438" t="s">
        <v>1556</v>
      </c>
      <c r="E24" s="41" t="s">
        <v>1546</v>
      </c>
      <c r="F24" s="41"/>
      <c r="G24" s="41"/>
      <c r="H24" s="41"/>
      <c r="I24" s="644">
        <v>1</v>
      </c>
      <c r="J24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4" s="585">
        <f>Таблица7[[#This Row],[Размер отряда минимум]]*1.25</f>
        <v>112.5</v>
      </c>
      <c r="L24" s="585">
        <f>Таблица7[[#This Row],[Размер отряда норма]]*1.5</f>
        <v>168.75</v>
      </c>
      <c r="M24" s="586">
        <f>Таблица7[[#This Row],[Размер отряда минимум]]*2.5</f>
        <v>225</v>
      </c>
      <c r="N24" s="586"/>
      <c r="O24" s="586"/>
      <c r="P24" s="586"/>
      <c r="Q24" s="586"/>
      <c r="R24" s="41" t="s">
        <v>3</v>
      </c>
      <c r="S24" s="765" t="s">
        <v>1900</v>
      </c>
      <c r="T24" s="41" t="s">
        <v>975</v>
      </c>
      <c r="U24" s="873" t="s">
        <v>2366</v>
      </c>
      <c r="V24" s="944" t="s">
        <v>2018</v>
      </c>
      <c r="W24" s="41" t="s">
        <v>984</v>
      </c>
      <c r="X24" s="39" t="s">
        <v>1020</v>
      </c>
      <c r="Y24" s="39" t="s">
        <v>1916</v>
      </c>
      <c r="Z24" s="39"/>
      <c r="AA24" s="39"/>
      <c r="AB24" s="39"/>
      <c r="AC24" s="39"/>
      <c r="AD24" s="785" t="s">
        <v>985</v>
      </c>
      <c r="AE24" s="785"/>
      <c r="AF24" s="41" t="s">
        <v>985</v>
      </c>
      <c r="AG24" s="769"/>
      <c r="AH24" s="41" t="s">
        <v>985</v>
      </c>
      <c r="AI24" s="41"/>
      <c r="AJ24" s="158" t="s">
        <v>985</v>
      </c>
      <c r="AK24" s="158"/>
      <c r="AL24" s="199" t="s">
        <v>985</v>
      </c>
      <c r="AM24" s="40" t="s">
        <v>935</v>
      </c>
      <c r="AN24" s="765" t="s">
        <v>1906</v>
      </c>
      <c r="AO24" s="765" t="s">
        <v>1905</v>
      </c>
      <c r="AP24" s="39" t="s">
        <v>952</v>
      </c>
      <c r="AQ24" s="765" t="s">
        <v>1871</v>
      </c>
      <c r="AS24" s="40">
        <v>1500</v>
      </c>
      <c r="AT24" s="43">
        <v>1550</v>
      </c>
      <c r="AU24" s="444">
        <v>1</v>
      </c>
      <c r="AV24" s="405"/>
      <c r="AW24" s="405">
        <f>VLOOKUP(Таблица7[[#This Row],[Основное оружие]], Оружие[#All], 2, 0)</f>
        <v>2</v>
      </c>
      <c r="AX24" s="405" t="str">
        <f>IF(ISBLANK(Таблица7[[#This Row],[Дополнительное оружие]]),"", VLOOKUP(Таблица7[[#This Row],[Дополнительное оружие]], Оружие[#All], 2, 0))</f>
        <v/>
      </c>
      <c r="AY2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2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4" s="405">
        <f>VLOOKUP(Таблица7[[#This Row],[Основное оружие]], Оружие[#All], 3, 0)</f>
        <v>3</v>
      </c>
      <c r="BC24" s="405" t="str">
        <f>IF(ISBLANK(Таблица7[[#This Row],[Дополнительное оружие]]),"", VLOOKUP(Таблица7[[#This Row],[Дополнительное оружие]], Оружие[#All], 3, 0))</f>
        <v/>
      </c>
      <c r="BD2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" s="405">
        <f>Таблица7[[#This Row],[Броня]]+Таблица7[[#This Row],[Щит]]+Таблица7[[#This Row],[навык защиты]]</f>
        <v>3</v>
      </c>
      <c r="BK24" s="1006"/>
      <c r="BL24" s="1006"/>
      <c r="BM24" s="375"/>
      <c r="BN24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4" s="375">
        <v>2</v>
      </c>
      <c r="BP24" s="375">
        <v>1</v>
      </c>
      <c r="BQ24" s="375">
        <v>-1</v>
      </c>
      <c r="BR24" s="375">
        <v>2</v>
      </c>
      <c r="BS24" s="375">
        <v>1</v>
      </c>
      <c r="BT24" s="375">
        <v>2</v>
      </c>
      <c r="BU24" s="971" t="s">
        <v>1839</v>
      </c>
      <c r="BV24" s="971" t="s">
        <v>1842</v>
      </c>
      <c r="BW24" s="375"/>
      <c r="BX24" s="375"/>
      <c r="BY24" s="375"/>
      <c r="BZ24" s="44"/>
    </row>
    <row r="25" spans="1:78" s="40" customFormat="1" ht="40.5" customHeight="1" x14ac:dyDescent="0.25">
      <c r="A25" s="333">
        <v>24</v>
      </c>
      <c r="B25" s="765" t="s">
        <v>1912</v>
      </c>
      <c r="C25" s="821" t="s">
        <v>1901</v>
      </c>
      <c r="D25" s="41" t="s">
        <v>1556</v>
      </c>
      <c r="E25" s="41" t="s">
        <v>1546</v>
      </c>
      <c r="F25" s="41"/>
      <c r="G25" s="41"/>
      <c r="H25" s="41"/>
      <c r="I25" s="644">
        <v>0.3</v>
      </c>
      <c r="J25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25" s="585">
        <f>Таблица7[[#This Row],[Размер отряда минимум]]*1.25</f>
        <v>33.75</v>
      </c>
      <c r="L25" s="585">
        <f>Таблица7[[#This Row],[Размер отряда норма]]*1.5</f>
        <v>50.625</v>
      </c>
      <c r="M25" s="586">
        <f>Таблица7[[#This Row],[Размер отряда минимум]]*2.5</f>
        <v>67.5</v>
      </c>
      <c r="N25" s="586"/>
      <c r="O25" s="586"/>
      <c r="P25" s="586"/>
      <c r="Q25" s="586"/>
      <c r="R25" s="41" t="s">
        <v>3</v>
      </c>
      <c r="S25" s="765" t="s">
        <v>1900</v>
      </c>
      <c r="T25" s="41" t="s">
        <v>975</v>
      </c>
      <c r="U25" s="766" t="s">
        <v>1903</v>
      </c>
      <c r="V25" s="819" t="s">
        <v>2019</v>
      </c>
      <c r="W25" s="41" t="s">
        <v>984</v>
      </c>
      <c r="X25" s="438" t="s">
        <v>987</v>
      </c>
      <c r="Y25" s="438" t="s">
        <v>1925</v>
      </c>
      <c r="Z25" s="41"/>
      <c r="AA25" s="41"/>
      <c r="AB25" s="41"/>
      <c r="AC25" s="41"/>
      <c r="AD25" s="158" t="s">
        <v>985</v>
      </c>
      <c r="AE25" s="158"/>
      <c r="AF25" s="41" t="s">
        <v>991</v>
      </c>
      <c r="AG25" s="769" t="s">
        <v>1951</v>
      </c>
      <c r="AH25" s="41" t="s">
        <v>985</v>
      </c>
      <c r="AI25" s="41"/>
      <c r="AJ25" s="158" t="s">
        <v>985</v>
      </c>
      <c r="AK25" s="158"/>
      <c r="AL25" s="199" t="s">
        <v>985</v>
      </c>
      <c r="AM25" s="39" t="s">
        <v>978</v>
      </c>
      <c r="AN25" s="41" t="s">
        <v>992</v>
      </c>
      <c r="AO25" s="765" t="s">
        <v>1904</v>
      </c>
      <c r="AP25" s="41" t="s">
        <v>986</v>
      </c>
      <c r="AQ25" s="765" t="s">
        <v>1907</v>
      </c>
      <c r="AS25" s="40">
        <v>1500</v>
      </c>
      <c r="AT25" s="43">
        <v>1550</v>
      </c>
      <c r="AU25" s="405">
        <v>5</v>
      </c>
      <c r="AV25" s="405"/>
      <c r="AW25" s="405">
        <f>VLOOKUP(Таблица7[[#This Row],[Основное оружие]], Оружие[#All], 2, 0)</f>
        <v>8</v>
      </c>
      <c r="AX25" s="405" t="str">
        <f>IF(ISBLANK(Таблица7[[#This Row],[Дополнительное оружие]]),"", VLOOKUP(Таблица7[[#This Row],[Дополнительное оружие]], Оружие[#All], 2, 0))</f>
        <v/>
      </c>
      <c r="AY2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2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2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5" s="405">
        <f>VLOOKUP(Таблица7[[#This Row],[Основное оружие]], Оружие[#All], 3, 0)</f>
        <v>8</v>
      </c>
      <c r="BC25" s="405" t="str">
        <f>IF(ISBLANK(Таблица7[[#This Row],[Дополнительное оружие]]),"", VLOOKUP(Таблица7[[#This Row],[Дополнительное оружие]], Оружие[#All], 3, 0))</f>
        <v/>
      </c>
      <c r="BD2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2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" s="405">
        <f>Таблица7[[#This Row],[Броня]]+Таблица7[[#This Row],[Щит]]+Таблица7[[#This Row],[навык защиты]]</f>
        <v>7</v>
      </c>
      <c r="BK25" s="1006"/>
      <c r="BL25" s="1006"/>
      <c r="BM25" s="375"/>
      <c r="BN25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5" s="375">
        <v>2</v>
      </c>
      <c r="BP25" s="375">
        <v>0</v>
      </c>
      <c r="BQ25" s="375">
        <v>-1</v>
      </c>
      <c r="BR25" s="375">
        <v>0</v>
      </c>
      <c r="BS25" s="375">
        <v>1</v>
      </c>
      <c r="BT25" s="375">
        <v>9</v>
      </c>
      <c r="BU25" s="971" t="s">
        <v>1840</v>
      </c>
      <c r="BV25" s="971" t="s">
        <v>1843</v>
      </c>
      <c r="BW25" s="375"/>
      <c r="BX25" s="375"/>
      <c r="BY25" s="375"/>
      <c r="BZ25" s="44"/>
    </row>
    <row r="26" spans="1:78" s="40" customFormat="1" ht="40.5" customHeight="1" x14ac:dyDescent="0.25">
      <c r="A26" s="333">
        <v>25</v>
      </c>
      <c r="B26" s="765" t="s">
        <v>1912</v>
      </c>
      <c r="C26" s="765" t="s">
        <v>1901</v>
      </c>
      <c r="D26" s="41" t="s">
        <v>1556</v>
      </c>
      <c r="E26" s="41" t="s">
        <v>1546</v>
      </c>
      <c r="F26" s="41"/>
      <c r="G26" s="41"/>
      <c r="H26" s="41"/>
      <c r="I26" s="644">
        <v>0.3</v>
      </c>
      <c r="J26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26" s="585">
        <f>Таблица7[[#This Row],[Размер отряда минимум]]*1.25</f>
        <v>37.5</v>
      </c>
      <c r="L26" s="585">
        <f>Таблица7[[#This Row],[Размер отряда норма]]*1.5</f>
        <v>56.25</v>
      </c>
      <c r="M26" s="586">
        <f>Таблица7[[#This Row],[Размер отряда минимум]]*2.5</f>
        <v>75</v>
      </c>
      <c r="N26" s="586"/>
      <c r="O26" s="586"/>
      <c r="P26" s="586"/>
      <c r="Q26" s="586"/>
      <c r="R26" s="41" t="s">
        <v>3</v>
      </c>
      <c r="S26" s="765" t="s">
        <v>1900</v>
      </c>
      <c r="T26" s="41" t="s">
        <v>976</v>
      </c>
      <c r="U26" s="823" t="s">
        <v>1903</v>
      </c>
      <c r="V26" s="822" t="s">
        <v>2019</v>
      </c>
      <c r="W26" s="41" t="s">
        <v>984</v>
      </c>
      <c r="X26" s="438" t="s">
        <v>987</v>
      </c>
      <c r="Y26" s="438" t="s">
        <v>1925</v>
      </c>
      <c r="Z26" s="41"/>
      <c r="AA26" s="41"/>
      <c r="AB26" s="41"/>
      <c r="AC26" s="41"/>
      <c r="AD26" s="158" t="s">
        <v>985</v>
      </c>
      <c r="AE26" s="158"/>
      <c r="AF26" s="41" t="s">
        <v>991</v>
      </c>
      <c r="AG26" s="769" t="s">
        <v>1951</v>
      </c>
      <c r="AH26" s="41" t="s">
        <v>985</v>
      </c>
      <c r="AI26" s="41"/>
      <c r="AJ26" s="158" t="s">
        <v>985</v>
      </c>
      <c r="AK26" s="158"/>
      <c r="AL26" s="199" t="s">
        <v>985</v>
      </c>
      <c r="AM26" s="39" t="s">
        <v>978</v>
      </c>
      <c r="AN26" s="41" t="s">
        <v>992</v>
      </c>
      <c r="AO26" s="765" t="s">
        <v>1904</v>
      </c>
      <c r="AP26" s="41" t="s">
        <v>986</v>
      </c>
      <c r="AQ26" s="765" t="s">
        <v>1907</v>
      </c>
      <c r="AS26" s="40">
        <v>1550</v>
      </c>
      <c r="AT26" s="42"/>
      <c r="AU26" s="405">
        <v>6</v>
      </c>
      <c r="AV26" s="405"/>
      <c r="AW26" s="405">
        <f>VLOOKUP(Таблица7[[#This Row],[Основное оружие]], Оружие[#All], 2, 0)</f>
        <v>8</v>
      </c>
      <c r="AX26" s="405" t="str">
        <f>IF(ISBLANK(Таблица7[[#This Row],[Дополнительное оружие]]),"", VLOOKUP(Таблица7[[#This Row],[Дополнительное оружие]], Оружие[#All], 2, 0))</f>
        <v/>
      </c>
      <c r="AY2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2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16</v>
      </c>
      <c r="BA2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6" s="405">
        <f>VLOOKUP(Таблица7[[#This Row],[Основное оружие]], Оружие[#All], 3, 0)</f>
        <v>8</v>
      </c>
      <c r="BC26" s="405" t="str">
        <f>IF(ISBLANK(Таблица7[[#This Row],[Дополнительное оружие]]),"", VLOOKUP(Таблица7[[#This Row],[Дополнительное оружие]], Оружие[#All], 3, 0))</f>
        <v/>
      </c>
      <c r="BD2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" s="405">
        <f>Таблица7[[#This Row],[Броня]]+Таблица7[[#This Row],[Щит]]+Таблица7[[#This Row],[навык защиты]]</f>
        <v>8</v>
      </c>
      <c r="BK26" s="1006"/>
      <c r="BL26" s="1006"/>
      <c r="BM26" s="375"/>
      <c r="BN26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6" s="375">
        <v>2</v>
      </c>
      <c r="BP26" s="375">
        <v>0</v>
      </c>
      <c r="BQ26" s="375">
        <v>-1</v>
      </c>
      <c r="BR26" s="375">
        <v>0</v>
      </c>
      <c r="BS26" s="375">
        <v>1</v>
      </c>
      <c r="BT26" s="375">
        <v>9</v>
      </c>
      <c r="BU26" s="971" t="s">
        <v>1840</v>
      </c>
      <c r="BV26" s="971" t="s">
        <v>1843</v>
      </c>
      <c r="BW26" s="375"/>
      <c r="BX26" s="375"/>
      <c r="BY26" s="375"/>
      <c r="BZ26" s="44"/>
    </row>
    <row r="27" spans="1:78" s="40" customFormat="1" ht="40.5" customHeight="1" x14ac:dyDescent="0.25">
      <c r="A27" s="333">
        <v>26</v>
      </c>
      <c r="B27" s="288" t="s">
        <v>1234</v>
      </c>
      <c r="C27" s="769" t="s">
        <v>1957</v>
      </c>
      <c r="D27" s="41" t="s">
        <v>1556</v>
      </c>
      <c r="E27" s="41" t="s">
        <v>1560</v>
      </c>
      <c r="F27" s="41"/>
      <c r="G27" s="41"/>
      <c r="H27" s="41"/>
      <c r="I27" s="644">
        <v>0.75</v>
      </c>
      <c r="J27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27" s="585">
        <f>Таблица7[[#This Row],[Размер отряда минимум]]*1.25</f>
        <v>84.375</v>
      </c>
      <c r="L27" s="585">
        <f>Таблица7[[#This Row],[Размер отряда норма]]*1.5</f>
        <v>126.5625</v>
      </c>
      <c r="M27" s="586">
        <f>Таблица7[[#This Row],[Размер отряда минимум]]*2.5</f>
        <v>168.75</v>
      </c>
      <c r="N27" s="586"/>
      <c r="O27" s="586"/>
      <c r="P27" s="586"/>
      <c r="Q27" s="586"/>
      <c r="R27" s="41" t="s">
        <v>3</v>
      </c>
      <c r="S27" s="765" t="s">
        <v>1900</v>
      </c>
      <c r="T27" s="41" t="s">
        <v>975</v>
      </c>
      <c r="U27" s="823" t="s">
        <v>2159</v>
      </c>
      <c r="V27" s="822" t="s">
        <v>1958</v>
      </c>
      <c r="W27" s="41" t="s">
        <v>993</v>
      </c>
      <c r="X27" s="41" t="s">
        <v>994</v>
      </c>
      <c r="Y27" s="769" t="s">
        <v>1932</v>
      </c>
      <c r="Z27" s="769"/>
      <c r="AA27" s="41"/>
      <c r="AB27" s="41"/>
      <c r="AC27" s="41"/>
      <c r="AD27" s="158" t="s">
        <v>985</v>
      </c>
      <c r="AE27" s="158"/>
      <c r="AF27" s="41" t="s">
        <v>991</v>
      </c>
      <c r="AG27" s="769" t="s">
        <v>1951</v>
      </c>
      <c r="AH27" s="41" t="s">
        <v>985</v>
      </c>
      <c r="AI27" s="41"/>
      <c r="AJ27" s="158" t="s">
        <v>985</v>
      </c>
      <c r="AK27" s="158"/>
      <c r="AL27" s="199" t="s">
        <v>985</v>
      </c>
      <c r="AM27" s="39" t="s">
        <v>978</v>
      </c>
      <c r="AN27" s="41" t="s">
        <v>992</v>
      </c>
      <c r="AO27" s="765" t="s">
        <v>1904</v>
      </c>
      <c r="AP27" s="39" t="s">
        <v>1009</v>
      </c>
      <c r="AQ27" s="769" t="s">
        <v>1959</v>
      </c>
      <c r="AS27" s="40">
        <v>1500</v>
      </c>
      <c r="AT27" s="43">
        <v>1551</v>
      </c>
      <c r="AU27" s="444">
        <v>3</v>
      </c>
      <c r="AV27" s="405"/>
      <c r="AW27" s="405">
        <f>VLOOKUP(Таблица7[[#This Row],[Основное оружие]], Оружие[#All], 2, 0)</f>
        <v>1</v>
      </c>
      <c r="AX27" s="405" t="str">
        <f>IF(ISBLANK(Таблица7[[#This Row],[Дополнительное оружие]]),"", VLOOKUP(Таблица7[[#This Row],[Дополнительное оружие]], Оружие[#All], 2, 0))</f>
        <v/>
      </c>
      <c r="AY2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27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7" s="405">
        <f>VLOOKUP(Таблица7[[#This Row],[Основное оружие]], Оружие[#All], 3, 0)</f>
        <v>1</v>
      </c>
      <c r="BC27" s="405" t="str">
        <f>IF(ISBLANK(Таблица7[[#This Row],[Дополнительное оружие]]),"", VLOOKUP(Таблица7[[#This Row],[Дополнительное оружие]], Оружие[#All], 3, 0))</f>
        <v/>
      </c>
      <c r="BD2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7" s="405">
        <f>Таблица7[[#This Row],[Броня]]+Таблица7[[#This Row],[Щит]]+Таблица7[[#This Row],[навык защиты]]</f>
        <v>3</v>
      </c>
      <c r="BK27" s="1006"/>
      <c r="BL27" s="1006"/>
      <c r="BM27" s="375"/>
      <c r="BN27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7" s="375">
        <v>2</v>
      </c>
      <c r="BP27" s="375">
        <v>-1</v>
      </c>
      <c r="BQ27" s="375">
        <v>-1</v>
      </c>
      <c r="BR27" s="375">
        <v>-2</v>
      </c>
      <c r="BS27" s="375">
        <v>1</v>
      </c>
      <c r="BT27" s="375">
        <v>7</v>
      </c>
      <c r="BU27" s="971" t="s">
        <v>1839</v>
      </c>
      <c r="BV27" s="971" t="s">
        <v>1843</v>
      </c>
      <c r="BW27" s="375"/>
      <c r="BX27" s="375"/>
      <c r="BY27" s="375"/>
      <c r="BZ27" s="44"/>
    </row>
    <row r="28" spans="1:78" s="40" customFormat="1" ht="40.5" customHeight="1" x14ac:dyDescent="0.25">
      <c r="A28" s="333">
        <v>27</v>
      </c>
      <c r="B28" s="821" t="s">
        <v>2050</v>
      </c>
      <c r="C28" s="769" t="s">
        <v>1960</v>
      </c>
      <c r="D28" s="41" t="s">
        <v>1556</v>
      </c>
      <c r="E28" s="41" t="s">
        <v>1561</v>
      </c>
      <c r="F28" s="41"/>
      <c r="G28" s="41"/>
      <c r="H28" s="41"/>
      <c r="I28" s="644">
        <v>0.75</v>
      </c>
      <c r="J28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28" s="585">
        <f>Таблица7[[#This Row],[Размер отряда минимум]]*1.25</f>
        <v>84.375</v>
      </c>
      <c r="L28" s="585">
        <f>Таблица7[[#This Row],[Размер отряда норма]]*1.5</f>
        <v>126.5625</v>
      </c>
      <c r="M28" s="586">
        <f>Таблица7[[#This Row],[Размер отряда минимум]]*2.5</f>
        <v>168.75</v>
      </c>
      <c r="N28" s="586"/>
      <c r="O28" s="586"/>
      <c r="P28" s="586"/>
      <c r="Q28" s="586"/>
      <c r="R28" s="41" t="s">
        <v>3</v>
      </c>
      <c r="S28" s="765" t="s">
        <v>1900</v>
      </c>
      <c r="T28" s="41" t="s">
        <v>975</v>
      </c>
      <c r="U28" s="823" t="s">
        <v>2160</v>
      </c>
      <c r="V28" s="822" t="s">
        <v>1961</v>
      </c>
      <c r="W28" s="41" t="s">
        <v>993</v>
      </c>
      <c r="X28" s="41" t="s">
        <v>994</v>
      </c>
      <c r="Y28" s="769" t="s">
        <v>1932</v>
      </c>
      <c r="Z28" s="41"/>
      <c r="AA28" s="41"/>
      <c r="AB28" s="41"/>
      <c r="AC28" s="41"/>
      <c r="AD28" s="179" t="s">
        <v>1158</v>
      </c>
      <c r="AE28" s="179" t="s">
        <v>1962</v>
      </c>
      <c r="AF28" s="41" t="s">
        <v>1211</v>
      </c>
      <c r="AG28" s="41" t="s">
        <v>1963</v>
      </c>
      <c r="AH28" s="41" t="s">
        <v>985</v>
      </c>
      <c r="AI28" s="41"/>
      <c r="AJ28" s="158" t="s">
        <v>985</v>
      </c>
      <c r="AK28" s="158"/>
      <c r="AL28" s="199" t="s">
        <v>985</v>
      </c>
      <c r="AM28" s="41" t="s">
        <v>978</v>
      </c>
      <c r="AN28" s="41" t="s">
        <v>995</v>
      </c>
      <c r="AO28" s="899" t="s">
        <v>1964</v>
      </c>
      <c r="AP28" s="39" t="s">
        <v>1010</v>
      </c>
      <c r="AQ28" s="769" t="s">
        <v>1965</v>
      </c>
      <c r="AS28" s="40">
        <v>1534</v>
      </c>
      <c r="AT28" s="43">
        <v>1551</v>
      </c>
      <c r="AU28" s="444">
        <v>2</v>
      </c>
      <c r="AV28" s="405"/>
      <c r="AW28" s="405">
        <f>VLOOKUP(Таблица7[[#This Row],[Основное оружие]], Оружие[#All], 2, 0)</f>
        <v>1</v>
      </c>
      <c r="AX28" s="405" t="str">
        <f>IF(ISBLANK(Таблица7[[#This Row],[Дополнительное оружие]]),"", VLOOKUP(Таблица7[[#This Row],[Дополнительное оружие]], Оружие[#All], 2, 0))</f>
        <v/>
      </c>
      <c r="AY2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0</v>
      </c>
      <c r="AZ2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</v>
      </c>
      <c r="BA28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8" s="405">
        <f>VLOOKUP(Таблица7[[#This Row],[Основное оружие]], Оружие[#All], 3, 0)</f>
        <v>1</v>
      </c>
      <c r="BC28" s="405" t="str">
        <f>IF(ISBLANK(Таблица7[[#This Row],[Дополнительное оружие]]),"", VLOOKUP(Таблица7[[#This Row],[Дополнительное оружие]], Оружие[#All], 3, 0))</f>
        <v/>
      </c>
      <c r="BD2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0</v>
      </c>
      <c r="BI2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8" s="405">
        <f>Таблица7[[#This Row],[Броня]]+Таблица7[[#This Row],[Щит]]+Таблица7[[#This Row],[навык защиты]]</f>
        <v>13</v>
      </c>
      <c r="BK28" s="1008"/>
      <c r="BL28" s="1008"/>
      <c r="BM28" s="375"/>
      <c r="BN28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8" s="375">
        <v>2</v>
      </c>
      <c r="BP28" s="375">
        <v>-1</v>
      </c>
      <c r="BQ28" s="375">
        <v>-1</v>
      </c>
      <c r="BR28" s="375">
        <v>-2</v>
      </c>
      <c r="BS28" s="375">
        <v>1</v>
      </c>
      <c r="BT28" s="375">
        <v>3</v>
      </c>
      <c r="BU28" s="971" t="s">
        <v>1839</v>
      </c>
      <c r="BV28" s="971" t="s">
        <v>1843</v>
      </c>
      <c r="BW28" s="375"/>
      <c r="BX28" s="375"/>
      <c r="BY28" s="375"/>
      <c r="BZ28" s="44"/>
    </row>
    <row r="29" spans="1:78" s="40" customFormat="1" ht="40.5" customHeight="1" x14ac:dyDescent="0.25">
      <c r="A29" s="333">
        <v>28</v>
      </c>
      <c r="B29" s="288" t="s">
        <v>1235</v>
      </c>
      <c r="C29" s="769" t="s">
        <v>1966</v>
      </c>
      <c r="D29" s="41" t="s">
        <v>1556</v>
      </c>
      <c r="E29" s="41" t="s">
        <v>1561</v>
      </c>
      <c r="F29" s="41"/>
      <c r="G29" s="41"/>
      <c r="H29" s="41"/>
      <c r="I29" s="644">
        <v>0.75</v>
      </c>
      <c r="J29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9" s="585">
        <f>Таблица7[[#This Row],[Размер отряда минимум]]*1.25</f>
        <v>93.75</v>
      </c>
      <c r="L29" s="585">
        <f>Таблица7[[#This Row],[Размер отряда норма]]*1.5</f>
        <v>140.625</v>
      </c>
      <c r="M29" s="586">
        <f>Таблица7[[#This Row],[Размер отряда минимум]]*2.5</f>
        <v>187.5</v>
      </c>
      <c r="N29" s="586"/>
      <c r="O29" s="586"/>
      <c r="P29" s="586"/>
      <c r="Q29" s="586"/>
      <c r="R29" s="41" t="s">
        <v>3</v>
      </c>
      <c r="S29" s="765" t="s">
        <v>1900</v>
      </c>
      <c r="T29" s="41" t="s">
        <v>976</v>
      </c>
      <c r="U29" s="823" t="s">
        <v>2161</v>
      </c>
      <c r="V29" s="822" t="s">
        <v>1967</v>
      </c>
      <c r="W29" s="41" t="s">
        <v>993</v>
      </c>
      <c r="X29" s="41" t="s">
        <v>994</v>
      </c>
      <c r="Y29" s="769" t="s">
        <v>1932</v>
      </c>
      <c r="Z29" s="701"/>
      <c r="AA29" s="41"/>
      <c r="AB29" s="41"/>
      <c r="AC29" s="41"/>
      <c r="AD29" s="179" t="s">
        <v>1158</v>
      </c>
      <c r="AE29" s="179" t="s">
        <v>1962</v>
      </c>
      <c r="AF29" s="41" t="s">
        <v>1211</v>
      </c>
      <c r="AG29" s="41" t="s">
        <v>1963</v>
      </c>
      <c r="AH29" s="41" t="s">
        <v>985</v>
      </c>
      <c r="AI29" s="41"/>
      <c r="AJ29" s="158" t="s">
        <v>985</v>
      </c>
      <c r="AK29" s="158"/>
      <c r="AL29" s="199" t="s">
        <v>985</v>
      </c>
      <c r="AM29" s="41" t="s">
        <v>978</v>
      </c>
      <c r="AN29" s="41" t="s">
        <v>995</v>
      </c>
      <c r="AO29" s="769" t="s">
        <v>1964</v>
      </c>
      <c r="AP29" s="41" t="s">
        <v>986</v>
      </c>
      <c r="AQ29" s="765" t="s">
        <v>1907</v>
      </c>
      <c r="AS29" s="40">
        <v>1551</v>
      </c>
      <c r="AT29" s="43"/>
      <c r="AU29" s="444">
        <v>4</v>
      </c>
      <c r="AV29" s="405"/>
      <c r="AW29" s="405">
        <f>VLOOKUP(Таблица7[[#This Row],[Основное оружие]], Оружие[#All], 2, 0)</f>
        <v>1</v>
      </c>
      <c r="AX29" s="405" t="str">
        <f>IF(ISBLANK(Таблица7[[#This Row],[Дополнительное оружие]]),"", VLOOKUP(Таблица7[[#This Row],[Дополнительное оружие]], Оружие[#All], 2, 0))</f>
        <v/>
      </c>
      <c r="AY2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2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3</v>
      </c>
      <c r="BA29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9" s="405">
        <f>VLOOKUP(Таблица7[[#This Row],[Основное оружие]], Оружие[#All], 3, 0)</f>
        <v>1</v>
      </c>
      <c r="BC29" s="405" t="str">
        <f>IF(ISBLANK(Таблица7[[#This Row],[Дополнительное оружие]]),"", VLOOKUP(Таблица7[[#This Row],[Дополнительное оружие]], Оружие[#All], 3, 0))</f>
        <v/>
      </c>
      <c r="BD2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" s="405">
        <f>Таблица7[[#This Row],[Броня]]+Таблица7[[#This Row],[Щит]]+Таблица7[[#This Row],[навык защиты]]</f>
        <v>15</v>
      </c>
      <c r="BK29" s="1006"/>
      <c r="BL29" s="1006"/>
      <c r="BM29" s="375"/>
      <c r="BN29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9" s="375">
        <v>2</v>
      </c>
      <c r="BP29" s="375">
        <v>-1</v>
      </c>
      <c r="BQ29" s="375">
        <v>-1</v>
      </c>
      <c r="BR29" s="375">
        <v>-2</v>
      </c>
      <c r="BS29" s="375">
        <v>1</v>
      </c>
      <c r="BT29" s="375">
        <v>7</v>
      </c>
      <c r="BU29" s="971" t="s">
        <v>1839</v>
      </c>
      <c r="BV29" s="971" t="s">
        <v>1843</v>
      </c>
      <c r="BW29" s="375"/>
      <c r="BX29" s="375"/>
      <c r="BY29" s="375"/>
      <c r="BZ29" s="44"/>
    </row>
    <row r="30" spans="1:78" s="40" customFormat="1" ht="40.5" customHeight="1" x14ac:dyDescent="0.25">
      <c r="A30" s="333">
        <v>29</v>
      </c>
      <c r="B30" s="769" t="s">
        <v>1968</v>
      </c>
      <c r="C30" s="769" t="s">
        <v>1969</v>
      </c>
      <c r="D30" s="41" t="s">
        <v>1556</v>
      </c>
      <c r="E30" s="438" t="s">
        <v>1547</v>
      </c>
      <c r="F30" s="438"/>
      <c r="G30" s="438"/>
      <c r="H30" s="438"/>
      <c r="I30" s="644">
        <v>1</v>
      </c>
      <c r="J30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30" s="585">
        <f>Таблица7[[#This Row],[Размер отряда минимум]]*1.25</f>
        <v>100</v>
      </c>
      <c r="L30" s="585">
        <f>Таблица7[[#This Row],[Размер отряда норма]]*1.5</f>
        <v>150</v>
      </c>
      <c r="M30" s="586">
        <f>Таблица7[[#This Row],[Размер отряда минимум]]*2.5</f>
        <v>200</v>
      </c>
      <c r="N30" s="586"/>
      <c r="O30" s="586"/>
      <c r="P30" s="586"/>
      <c r="Q30" s="586"/>
      <c r="R30" s="41" t="s">
        <v>3</v>
      </c>
      <c r="S30" s="765" t="s">
        <v>1900</v>
      </c>
      <c r="T30" s="41" t="s">
        <v>975</v>
      </c>
      <c r="U30" s="823" t="s">
        <v>2162</v>
      </c>
      <c r="V30" s="822" t="s">
        <v>1971</v>
      </c>
      <c r="W30" s="41" t="s">
        <v>993</v>
      </c>
      <c r="X30" s="41" t="s">
        <v>996</v>
      </c>
      <c r="Y30" s="769" t="s">
        <v>1973</v>
      </c>
      <c r="Z30" s="41"/>
      <c r="AA30" s="41"/>
      <c r="AB30" s="41"/>
      <c r="AC30" s="41"/>
      <c r="AD30" s="786" t="s">
        <v>1482</v>
      </c>
      <c r="AE30" s="786" t="s">
        <v>1975</v>
      </c>
      <c r="AF30" s="41" t="s">
        <v>1481</v>
      </c>
      <c r="AG30" s="41" t="s">
        <v>1978</v>
      </c>
      <c r="AH30" s="179" t="s">
        <v>985</v>
      </c>
      <c r="AI30" s="179"/>
      <c r="AJ30" s="409" t="s">
        <v>1004</v>
      </c>
      <c r="AK30" s="409" t="s">
        <v>1952</v>
      </c>
      <c r="AL30" s="199" t="s">
        <v>985</v>
      </c>
      <c r="AM30" s="925" t="s">
        <v>935</v>
      </c>
      <c r="AN30" s="925" t="s">
        <v>2383</v>
      </c>
      <c r="AO30" s="769" t="s">
        <v>1983</v>
      </c>
      <c r="AP30" s="821" t="s">
        <v>2135</v>
      </c>
      <c r="AQ30" s="821" t="s">
        <v>2134</v>
      </c>
      <c r="AS30" s="40">
        <v>1500</v>
      </c>
      <c r="AT30" s="43">
        <v>1550</v>
      </c>
      <c r="AU30" s="405">
        <v>10</v>
      </c>
      <c r="AV30" s="405"/>
      <c r="AW30" s="405">
        <f>VLOOKUP(Таблица7[[#This Row],[Основное оружие]], Оружие[#All], 2, 0)</f>
        <v>7</v>
      </c>
      <c r="AX30" s="405" t="str">
        <f>IF(ISBLANK(Таблица7[[#This Row],[Дополнительное оружие]]),"", VLOOKUP(Таблица7[[#This Row],[Дополнительное оружие]], Оружие[#All], 2, 0))</f>
        <v/>
      </c>
      <c r="AY3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16</v>
      </c>
      <c r="BA3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0" s="405">
        <f>VLOOKUP(Таблица7[[#This Row],[Основное оружие]], Оружие[#All], 3, 0)</f>
        <v>3</v>
      </c>
      <c r="BC30" s="405" t="str">
        <f>IF(ISBLANK(Таблица7[[#This Row],[Дополнительное оружие]]),"", VLOOKUP(Таблица7[[#This Row],[Дополнительное оружие]], Оружие[#All], 3, 0))</f>
        <v/>
      </c>
      <c r="BD3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3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" s="405">
        <f>Таблица7[[#This Row],[Броня]]+Таблица7[[#This Row],[Щит]]+Таблица7[[#This Row],[навык защиты]]</f>
        <v>27</v>
      </c>
      <c r="BK30" s="1006"/>
      <c r="BL30" s="1006"/>
      <c r="BM30" s="375"/>
      <c r="BN30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0" s="375">
        <v>3</v>
      </c>
      <c r="BP30" s="375">
        <v>0</v>
      </c>
      <c r="BQ30" s="375">
        <v>-2</v>
      </c>
      <c r="BR30" s="375">
        <v>-1</v>
      </c>
      <c r="BS30" s="375">
        <v>2</v>
      </c>
      <c r="BT30" s="688" t="s">
        <v>1832</v>
      </c>
      <c r="BU30" s="971" t="s">
        <v>1840</v>
      </c>
      <c r="BV30" s="971" t="s">
        <v>1844</v>
      </c>
      <c r="BW30" s="375"/>
      <c r="BX30" s="375"/>
      <c r="BY30" s="375"/>
      <c r="BZ30" s="44"/>
    </row>
    <row r="31" spans="1:78" s="40" customFormat="1" ht="40.5" customHeight="1" x14ac:dyDescent="0.25">
      <c r="A31" s="333">
        <v>30</v>
      </c>
      <c r="B31" s="821" t="s">
        <v>2064</v>
      </c>
      <c r="C31" s="821" t="s">
        <v>1970</v>
      </c>
      <c r="D31" s="41" t="s">
        <v>1556</v>
      </c>
      <c r="E31" s="438" t="s">
        <v>1547</v>
      </c>
      <c r="F31" s="438"/>
      <c r="G31" s="438"/>
      <c r="H31" s="438"/>
      <c r="I31" s="644">
        <v>1</v>
      </c>
      <c r="J31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1" s="585">
        <f>Таблица7[[#This Row],[Размер отряда минимум]]*1.25</f>
        <v>112.5</v>
      </c>
      <c r="L31" s="585">
        <f>Таблица7[[#This Row],[Размер отряда норма]]*1.5</f>
        <v>168.75</v>
      </c>
      <c r="M31" s="586">
        <f>Таблица7[[#This Row],[Размер отряда минимум]]*2.5</f>
        <v>225</v>
      </c>
      <c r="N31" s="586"/>
      <c r="O31" s="586"/>
      <c r="P31" s="586"/>
      <c r="Q31" s="586"/>
      <c r="R31" s="41" t="s">
        <v>3</v>
      </c>
      <c r="S31" s="765" t="s">
        <v>1900</v>
      </c>
      <c r="T31" s="41" t="s">
        <v>976</v>
      </c>
      <c r="U31" s="823" t="s">
        <v>2163</v>
      </c>
      <c r="V31" s="822" t="s">
        <v>1972</v>
      </c>
      <c r="W31" s="41" t="s">
        <v>993</v>
      </c>
      <c r="X31" s="41" t="s">
        <v>996</v>
      </c>
      <c r="Y31" s="769" t="s">
        <v>1973</v>
      </c>
      <c r="Z31" s="41"/>
      <c r="AA31" s="41"/>
      <c r="AB31" s="41"/>
      <c r="AC31" s="41"/>
      <c r="AD31" s="179" t="s">
        <v>1482</v>
      </c>
      <c r="AE31" s="786" t="s">
        <v>1975</v>
      </c>
      <c r="AF31" s="41" t="s">
        <v>1481</v>
      </c>
      <c r="AG31" s="41" t="s">
        <v>1978</v>
      </c>
      <c r="AH31" s="218" t="s">
        <v>985</v>
      </c>
      <c r="AI31" s="218"/>
      <c r="AJ31" s="367" t="s">
        <v>1048</v>
      </c>
      <c r="AK31" s="367" t="s">
        <v>1953</v>
      </c>
      <c r="AL31" s="199" t="s">
        <v>985</v>
      </c>
      <c r="AM31" s="925" t="s">
        <v>935</v>
      </c>
      <c r="AN31" s="925" t="s">
        <v>2383</v>
      </c>
      <c r="AO31" s="769" t="s">
        <v>1983</v>
      </c>
      <c r="AP31" s="821" t="s">
        <v>2135</v>
      </c>
      <c r="AQ31" s="821" t="s">
        <v>2134</v>
      </c>
      <c r="AS31" s="40">
        <v>1550</v>
      </c>
      <c r="AT31" s="43"/>
      <c r="AU31" s="405">
        <v>10</v>
      </c>
      <c r="AV31" s="405"/>
      <c r="AW31" s="405">
        <f>VLOOKUP(Таблица7[[#This Row],[Основное оружие]], Оружие[#All], 2, 0)</f>
        <v>7</v>
      </c>
      <c r="AX31" s="405" t="str">
        <f>IF(ISBLANK(Таблица7[[#This Row],[Дополнительное оружие]]),"", VLOOKUP(Таблица7[[#This Row],[Дополнительное оружие]], Оружие[#All], 2, 0))</f>
        <v/>
      </c>
      <c r="AY3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16</v>
      </c>
      <c r="BA3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1" s="405">
        <f>VLOOKUP(Таблица7[[#This Row],[Основное оружие]], Оружие[#All], 3, 0)</f>
        <v>3</v>
      </c>
      <c r="BC31" s="405" t="str">
        <f>IF(ISBLANK(Таблица7[[#This Row],[Дополнительное оружие]]),"", VLOOKUP(Таблица7[[#This Row],[Дополнительное оружие]], Оружие[#All], 3, 0))</f>
        <v/>
      </c>
      <c r="BD3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3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3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1" s="405">
        <f>Таблица7[[#This Row],[Броня]]+Таблица7[[#This Row],[Щит]]+Таблица7[[#This Row],[навык защиты]]</f>
        <v>27</v>
      </c>
      <c r="BK31" s="1006"/>
      <c r="BL31" s="1006"/>
      <c r="BM31" s="375"/>
      <c r="BN31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" s="375">
        <v>3</v>
      </c>
      <c r="BP31" s="375">
        <v>0</v>
      </c>
      <c r="BQ31" s="375">
        <v>-2</v>
      </c>
      <c r="BR31" s="375">
        <v>-1</v>
      </c>
      <c r="BS31" s="375">
        <v>2</v>
      </c>
      <c r="BT31" s="688" t="s">
        <v>1832</v>
      </c>
      <c r="BU31" s="971" t="s">
        <v>1840</v>
      </c>
      <c r="BV31" s="971" t="s">
        <v>1844</v>
      </c>
      <c r="BW31" s="375"/>
      <c r="BX31" s="375"/>
      <c r="BY31" s="375"/>
      <c r="BZ31" s="44"/>
    </row>
    <row r="32" spans="1:78" s="40" customFormat="1" ht="40.5" customHeight="1" x14ac:dyDescent="0.25">
      <c r="A32" s="333">
        <v>31</v>
      </c>
      <c r="B32" s="288" t="s">
        <v>1236</v>
      </c>
      <c r="C32" s="769" t="s">
        <v>1984</v>
      </c>
      <c r="D32" s="438" t="s">
        <v>1555</v>
      </c>
      <c r="E32" s="41" t="s">
        <v>1570</v>
      </c>
      <c r="F32" s="41"/>
      <c r="G32" s="41"/>
      <c r="H32" s="41"/>
      <c r="I32" s="644">
        <v>0.75</v>
      </c>
      <c r="J32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32" s="585">
        <f>Таблица7[[#This Row],[Размер отряда минимум]]*1.25</f>
        <v>33.75</v>
      </c>
      <c r="L32" s="585">
        <f>Таблица7[[#This Row],[Размер отряда норма]]*1.5</f>
        <v>50.625</v>
      </c>
      <c r="M32" s="586">
        <f>Таблица7[[#This Row],[Размер отряда минимум]]*2.5</f>
        <v>67.5</v>
      </c>
      <c r="N32" s="586"/>
      <c r="O32" s="586"/>
      <c r="P32" s="586"/>
      <c r="Q32" s="586"/>
      <c r="R32" s="41" t="s">
        <v>3</v>
      </c>
      <c r="S32" s="765" t="s">
        <v>1900</v>
      </c>
      <c r="T32" s="41" t="s">
        <v>975</v>
      </c>
      <c r="U32" s="823" t="s">
        <v>2164</v>
      </c>
      <c r="V32" s="822" t="s">
        <v>2147</v>
      </c>
      <c r="W32" s="41" t="s">
        <v>984</v>
      </c>
      <c r="X32" s="41" t="s">
        <v>1692</v>
      </c>
      <c r="Y32" s="41" t="s">
        <v>1938</v>
      </c>
      <c r="Z32" s="41" t="s">
        <v>1036</v>
      </c>
      <c r="AA32" s="769" t="s">
        <v>1929</v>
      </c>
      <c r="AB32" s="41"/>
      <c r="AC32" s="41"/>
      <c r="AD32" s="158" t="s">
        <v>985</v>
      </c>
      <c r="AE32" s="158"/>
      <c r="AF32" s="41" t="s">
        <v>991</v>
      </c>
      <c r="AG32" s="769" t="s">
        <v>1951</v>
      </c>
      <c r="AH32" s="41" t="s">
        <v>1202</v>
      </c>
      <c r="AI32" s="769" t="s">
        <v>1980</v>
      </c>
      <c r="AJ32" s="158" t="s">
        <v>985</v>
      </c>
      <c r="AK32" s="158"/>
      <c r="AL32" s="199" t="s">
        <v>985</v>
      </c>
      <c r="AM32" s="39" t="s">
        <v>978</v>
      </c>
      <c r="AN32" s="41" t="s">
        <v>992</v>
      </c>
      <c r="AO32" s="765" t="s">
        <v>1904</v>
      </c>
      <c r="AP32" s="41" t="s">
        <v>986</v>
      </c>
      <c r="AQ32" s="765" t="s">
        <v>1907</v>
      </c>
      <c r="AS32" s="40">
        <v>1500</v>
      </c>
      <c r="AT32" s="43">
        <v>1552</v>
      </c>
      <c r="AU32" s="405">
        <v>5</v>
      </c>
      <c r="AV32" s="405" t="s">
        <v>1827</v>
      </c>
      <c r="AW32" s="405">
        <f>VLOOKUP(Таблица7[[#This Row],[Основное оружие]], Оружие[#All], 2, 0)</f>
        <v>8</v>
      </c>
      <c r="AX32" s="405">
        <f>IF(ISBLANK(Таблица7[[#This Row],[Дополнительное оружие]]),"", VLOOKUP(Таблица7[[#This Row],[Дополнительное оружие]], Оружие[#All], 2, 0))</f>
        <v>5</v>
      </c>
      <c r="AY3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3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3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32" s="405">
        <f>VLOOKUP(Таблица7[[#This Row],[Основное оружие]], Оружие[#All], 3, 0)</f>
        <v>1</v>
      </c>
      <c r="BC32" s="405">
        <f>IF(ISBLANK(Таблица7[[#This Row],[Дополнительное оружие]]),"", VLOOKUP(Таблица7[[#This Row],[Дополнительное оружие]], Оружие[#All], 3, 0))</f>
        <v>3</v>
      </c>
      <c r="BD3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32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8</v>
      </c>
      <c r="BG3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2" s="405">
        <f>Таблица7[[#This Row],[Броня]]+Таблица7[[#This Row],[Щит]]+Таблица7[[#This Row],[навык защиты]]</f>
        <v>5</v>
      </c>
      <c r="BK32" s="1008" t="s">
        <v>1589</v>
      </c>
      <c r="BL32" s="1008"/>
      <c r="BM32" s="375"/>
      <c r="BN32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2" s="375">
        <v>2</v>
      </c>
      <c r="BP32" s="375">
        <v>-2</v>
      </c>
      <c r="BQ32" s="375">
        <v>0</v>
      </c>
      <c r="BR32" s="375">
        <v>-4</v>
      </c>
      <c r="BS32" s="375">
        <v>-2</v>
      </c>
      <c r="BT32" s="375">
        <v>5</v>
      </c>
      <c r="BU32" s="971" t="s">
        <v>1839</v>
      </c>
      <c r="BV32" s="971" t="s">
        <v>1843</v>
      </c>
      <c r="BW32" s="375"/>
      <c r="BX32" s="375"/>
      <c r="BY32" s="375"/>
      <c r="BZ32" s="44"/>
    </row>
    <row r="33" spans="1:78" s="40" customFormat="1" ht="40.5" customHeight="1" x14ac:dyDescent="0.25">
      <c r="A33" s="333">
        <v>32</v>
      </c>
      <c r="B33" s="821" t="s">
        <v>2167</v>
      </c>
      <c r="C33" s="821" t="s">
        <v>2168</v>
      </c>
      <c r="D33" s="41" t="s">
        <v>1555</v>
      </c>
      <c r="E33" s="41" t="s">
        <v>1570</v>
      </c>
      <c r="F33" s="41"/>
      <c r="G33" s="41"/>
      <c r="H33" s="41"/>
      <c r="I33" s="644">
        <v>0.75</v>
      </c>
      <c r="J33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33" s="585">
        <f>Таблица7[[#This Row],[Размер отряда минимум]]*1.25</f>
        <v>37.5</v>
      </c>
      <c r="L33" s="585">
        <f>Таблица7[[#This Row],[Размер отряда норма]]*1.5</f>
        <v>56.25</v>
      </c>
      <c r="M33" s="586">
        <f>Таблица7[[#This Row],[Размер отряда минимум]]*2.5</f>
        <v>75</v>
      </c>
      <c r="N33" s="586"/>
      <c r="O33" s="586"/>
      <c r="P33" s="586"/>
      <c r="Q33" s="586"/>
      <c r="R33" s="41" t="s">
        <v>3</v>
      </c>
      <c r="S33" s="765" t="s">
        <v>1900</v>
      </c>
      <c r="T33" s="41" t="s">
        <v>976</v>
      </c>
      <c r="U33" s="823" t="s">
        <v>2166</v>
      </c>
      <c r="V33" s="822" t="s">
        <v>2165</v>
      </c>
      <c r="W33" s="41" t="s">
        <v>984</v>
      </c>
      <c r="X33" s="41" t="s">
        <v>1950</v>
      </c>
      <c r="Y33" s="41" t="s">
        <v>1949</v>
      </c>
      <c r="Z33" s="41" t="s">
        <v>1440</v>
      </c>
      <c r="AA33" s="818" t="s">
        <v>2020</v>
      </c>
      <c r="AB33" s="41"/>
      <c r="AC33" s="41"/>
      <c r="AD33" s="158" t="s">
        <v>985</v>
      </c>
      <c r="AE33" s="158"/>
      <c r="AF33" s="41" t="s">
        <v>985</v>
      </c>
      <c r="AG33" s="41"/>
      <c r="AH33" s="41" t="s">
        <v>985</v>
      </c>
      <c r="AI33" s="41"/>
      <c r="AJ33" s="158" t="s">
        <v>985</v>
      </c>
      <c r="AK33" s="158"/>
      <c r="AL33" s="199" t="s">
        <v>985</v>
      </c>
      <c r="AM33" s="39" t="s">
        <v>977</v>
      </c>
      <c r="AN33" s="41" t="s">
        <v>992</v>
      </c>
      <c r="AO33" s="765" t="s">
        <v>1904</v>
      </c>
      <c r="AP33" s="41" t="s">
        <v>986</v>
      </c>
      <c r="AQ33" s="765" t="s">
        <v>1907</v>
      </c>
      <c r="AS33" s="40">
        <v>1552</v>
      </c>
      <c r="AT33" s="43"/>
      <c r="AU33" s="405">
        <v>9</v>
      </c>
      <c r="AV33" s="405" t="s">
        <v>1827</v>
      </c>
      <c r="AW33" s="405">
        <f>VLOOKUP(Таблица7[[#This Row],[Основное оружие]], Оружие[#All], 2, 0)</f>
        <v>0</v>
      </c>
      <c r="AX33" s="405">
        <f>IF(ISBLANK(Таблица7[[#This Row],[Дополнительное оружие]]),"", VLOOKUP(Таблица7[[#This Row],[Дополнительное оружие]], Оружие[#All], 2, 0))</f>
        <v>4</v>
      </c>
      <c r="AY3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11</v>
      </c>
      <c r="AZ3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15</v>
      </c>
      <c r="BB33" s="405">
        <f>VLOOKUP(Таблица7[[#This Row],[Основное оружие]], Оружие[#All], 3, 0)</f>
        <v>1</v>
      </c>
      <c r="BC33" s="405">
        <f>IF(ISBLANK(Таблица7[[#This Row],[Дополнительное оружие]]),"", VLOOKUP(Таблица7[[#This Row],[Дополнительное оружие]], Оружие[#All], 3, 0))</f>
        <v>3</v>
      </c>
      <c r="BD3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3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3" s="405">
        <f>Таблица7[[#This Row],[Броня]]+Таблица7[[#This Row],[Щит]]+Таблица7[[#This Row],[навык защиты]]</f>
        <v>9</v>
      </c>
      <c r="BK33" s="1006"/>
      <c r="BL33" s="1006"/>
      <c r="BM33" s="375"/>
      <c r="BN33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3" s="375">
        <v>2</v>
      </c>
      <c r="BP33" s="375">
        <v>-2</v>
      </c>
      <c r="BQ33" s="375">
        <v>0</v>
      </c>
      <c r="BR33" s="375">
        <v>-4</v>
      </c>
      <c r="BS33" s="375">
        <v>-2</v>
      </c>
      <c r="BT33" s="375">
        <v>11</v>
      </c>
      <c r="BU33" s="971" t="s">
        <v>1840</v>
      </c>
      <c r="BV33" s="971" t="s">
        <v>1844</v>
      </c>
      <c r="BW33" s="375"/>
      <c r="BX33" s="375"/>
      <c r="BY33" s="375"/>
      <c r="BZ33" s="44"/>
    </row>
    <row r="34" spans="1:78" s="40" customFormat="1" ht="40.5" customHeight="1" x14ac:dyDescent="0.25">
      <c r="A34" s="333">
        <v>33</v>
      </c>
      <c r="B34" s="288" t="s">
        <v>1237</v>
      </c>
      <c r="C34" s="818" t="s">
        <v>2021</v>
      </c>
      <c r="D34" s="41" t="s">
        <v>1555</v>
      </c>
      <c r="E34" s="41" t="s">
        <v>1559</v>
      </c>
      <c r="F34" s="41"/>
      <c r="G34" s="41"/>
      <c r="H34" s="41"/>
      <c r="I34" s="644">
        <v>0.75</v>
      </c>
      <c r="J34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</v>
      </c>
      <c r="K34" s="585">
        <f>Таблица7[[#This Row],[Размер отряда минимум]]*1.25</f>
        <v>26.25</v>
      </c>
      <c r="L34" s="585">
        <f>Таблица7[[#This Row],[Размер отряда норма]]*1.5</f>
        <v>39.375</v>
      </c>
      <c r="M34" s="586">
        <f>Таблица7[[#This Row],[Размер отряда минимум]]*2.5</f>
        <v>52.5</v>
      </c>
      <c r="N34" s="586"/>
      <c r="O34" s="586"/>
      <c r="P34" s="586"/>
      <c r="Q34" s="586"/>
      <c r="R34" s="41" t="s">
        <v>3</v>
      </c>
      <c r="S34" s="765" t="s">
        <v>1900</v>
      </c>
      <c r="T34" s="41" t="s">
        <v>975</v>
      </c>
      <c r="U34" s="823" t="s">
        <v>2173</v>
      </c>
      <c r="V34" s="822" t="s">
        <v>2022</v>
      </c>
      <c r="W34" s="41" t="s">
        <v>1001</v>
      </c>
      <c r="X34" s="821" t="s">
        <v>2105</v>
      </c>
      <c r="Y34" s="821" t="s">
        <v>2024</v>
      </c>
      <c r="Z34" s="41" t="s">
        <v>1036</v>
      </c>
      <c r="AA34" s="818" t="s">
        <v>1929</v>
      </c>
      <c r="AB34" s="41"/>
      <c r="AC34" s="41"/>
      <c r="AD34" s="786" t="s">
        <v>1211</v>
      </c>
      <c r="AE34" s="41" t="s">
        <v>1963</v>
      </c>
      <c r="AF34" s="359" t="s">
        <v>1215</v>
      </c>
      <c r="AG34" s="359" t="s">
        <v>1977</v>
      </c>
      <c r="AH34" s="41" t="s">
        <v>1481</v>
      </c>
      <c r="AI34" s="41" t="s">
        <v>1978</v>
      </c>
      <c r="AJ34" s="158" t="s">
        <v>1002</v>
      </c>
      <c r="AK34" s="820" t="s">
        <v>2025</v>
      </c>
      <c r="AL34" s="199" t="s">
        <v>985</v>
      </c>
      <c r="AM34" s="41" t="s">
        <v>977</v>
      </c>
      <c r="AN34" s="41" t="s">
        <v>999</v>
      </c>
      <c r="AO34" s="818" t="s">
        <v>2032</v>
      </c>
      <c r="AP34" s="41" t="s">
        <v>986</v>
      </c>
      <c r="AQ34" s="765" t="s">
        <v>1907</v>
      </c>
      <c r="AS34" s="40">
        <v>1500</v>
      </c>
      <c r="AT34" s="43">
        <v>1552</v>
      </c>
      <c r="AU34" s="405">
        <v>7</v>
      </c>
      <c r="AV34" s="405"/>
      <c r="AW34" s="405">
        <f>VLOOKUP(Таблица7[[#This Row],[Основное оружие]], Оружие[#All], 2, 0)</f>
        <v>2</v>
      </c>
      <c r="AX34" s="405">
        <f>IF(ISBLANK(Таблица7[[#This Row],[Дополнительное оружие]]),"", VLOOKUP(Таблица7[[#This Row],[Дополнительное оружие]], Оружие[#All], 2, 0))</f>
        <v>5</v>
      </c>
      <c r="AY3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3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3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34" s="405">
        <f>VLOOKUP(Таблица7[[#This Row],[Основное оружие]], Оружие[#All], 3, 0)</f>
        <v>10</v>
      </c>
      <c r="BC34" s="405">
        <f>IF(ISBLANK(Таблица7[[#This Row],[Дополнительное оружие]]),"", VLOOKUP(Таблица7[[#This Row],[Дополнительное оружие]], Оружие[#All], 3, 0))</f>
        <v>3</v>
      </c>
      <c r="BD3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14</v>
      </c>
      <c r="BF34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17</v>
      </c>
      <c r="BG3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18</v>
      </c>
      <c r="BH3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3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4" s="405">
        <f>Таблица7[[#This Row],[Броня]]+Таблица7[[#This Row],[Щит]]+Таблица7[[#This Row],[навык защиты]]</f>
        <v>18</v>
      </c>
      <c r="BK34" s="1006"/>
      <c r="BL34" s="1006"/>
      <c r="BM34" s="375"/>
      <c r="BN34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4" s="375">
        <v>2</v>
      </c>
      <c r="BP34" s="375">
        <v>-2</v>
      </c>
      <c r="BQ34" s="375">
        <v>0</v>
      </c>
      <c r="BR34" s="375">
        <v>-4</v>
      </c>
      <c r="BS34" s="375">
        <v>-2</v>
      </c>
      <c r="BT34" s="375">
        <v>9</v>
      </c>
      <c r="BU34" s="971" t="s">
        <v>1840</v>
      </c>
      <c r="BV34" s="971" t="s">
        <v>1843</v>
      </c>
      <c r="BW34" s="375"/>
      <c r="BX34" s="375"/>
      <c r="BY34" s="375"/>
      <c r="BZ34" s="44"/>
    </row>
    <row r="35" spans="1:78" s="40" customFormat="1" ht="40.5" customHeight="1" x14ac:dyDescent="0.25">
      <c r="A35" s="333">
        <v>34</v>
      </c>
      <c r="B35" s="818" t="s">
        <v>2026</v>
      </c>
      <c r="C35" s="818" t="s">
        <v>2027</v>
      </c>
      <c r="D35" s="41" t="s">
        <v>1555</v>
      </c>
      <c r="E35" s="41" t="s">
        <v>1448</v>
      </c>
      <c r="F35" s="41"/>
      <c r="G35" s="41"/>
      <c r="H35" s="41"/>
      <c r="I35" s="644">
        <v>0.75</v>
      </c>
      <c r="J35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35" s="585">
        <f>Таблица7[[#This Row],[Размер отряда минимум]]*1.25</f>
        <v>30</v>
      </c>
      <c r="L35" s="585">
        <f>Таблица7[[#This Row],[Размер отряда норма]]*1.5</f>
        <v>45</v>
      </c>
      <c r="M35" s="586">
        <f>Таблица7[[#This Row],[Размер отряда минимум]]*2.5</f>
        <v>60</v>
      </c>
      <c r="N35" s="586"/>
      <c r="O35" s="586"/>
      <c r="P35" s="586"/>
      <c r="Q35" s="586"/>
      <c r="R35" s="41" t="s">
        <v>3</v>
      </c>
      <c r="S35" s="765" t="s">
        <v>1900</v>
      </c>
      <c r="T35" s="41" t="s">
        <v>976</v>
      </c>
      <c r="U35" s="823" t="s">
        <v>2174</v>
      </c>
      <c r="V35" s="822" t="s">
        <v>2028</v>
      </c>
      <c r="W35" s="41" t="s">
        <v>1001</v>
      </c>
      <c r="X35" s="821" t="s">
        <v>2105</v>
      </c>
      <c r="Y35" s="821" t="s">
        <v>2024</v>
      </c>
      <c r="Z35" s="41" t="s">
        <v>1440</v>
      </c>
      <c r="AA35" s="818" t="s">
        <v>2020</v>
      </c>
      <c r="AB35" s="41"/>
      <c r="AC35" s="41"/>
      <c r="AD35" s="787" t="s">
        <v>1158</v>
      </c>
      <c r="AE35" s="179" t="s">
        <v>1962</v>
      </c>
      <c r="AF35" s="41" t="s">
        <v>1211</v>
      </c>
      <c r="AG35" s="41" t="s">
        <v>1963</v>
      </c>
      <c r="AH35" s="41" t="s">
        <v>985</v>
      </c>
      <c r="AI35" s="41"/>
      <c r="AJ35" s="158" t="s">
        <v>985</v>
      </c>
      <c r="AK35" s="158"/>
      <c r="AL35" s="199" t="s">
        <v>985</v>
      </c>
      <c r="AM35" s="41" t="s">
        <v>977</v>
      </c>
      <c r="AN35" s="41" t="s">
        <v>999</v>
      </c>
      <c r="AO35" s="818" t="s">
        <v>2032</v>
      </c>
      <c r="AP35" s="41" t="s">
        <v>986</v>
      </c>
      <c r="AQ35" s="765" t="s">
        <v>1907</v>
      </c>
      <c r="AS35" s="40">
        <v>1552</v>
      </c>
      <c r="AT35" s="43"/>
      <c r="AU35" s="405">
        <v>7</v>
      </c>
      <c r="AV35" s="405"/>
      <c r="AW35" s="405">
        <f>VLOOKUP(Таблица7[[#This Row],[Основное оружие]], Оружие[#All], 2, 0)</f>
        <v>2</v>
      </c>
      <c r="AX35" s="405">
        <f>IF(ISBLANK(Таблица7[[#This Row],[Дополнительное оружие]]),"", VLOOKUP(Таблица7[[#This Row],[Дополнительное оружие]], Оружие[#All], 2, 0))</f>
        <v>4</v>
      </c>
      <c r="AY3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3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3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35" s="405">
        <f>VLOOKUP(Таблица7[[#This Row],[Основное оружие]], Оружие[#All], 3, 0)</f>
        <v>10</v>
      </c>
      <c r="BC35" s="405">
        <f>IF(ISBLANK(Таблица7[[#This Row],[Дополнительное оружие]]),"", VLOOKUP(Таблица7[[#This Row],[Дополнительное оружие]], Оружие[#All], 3, 0))</f>
        <v>3</v>
      </c>
      <c r="BD3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3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13</v>
      </c>
      <c r="BF3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3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" s="405">
        <f>Таблица7[[#This Row],[Броня]]+Таблица7[[#This Row],[Щит]]+Таблица7[[#This Row],[навык защиты]]</f>
        <v>16</v>
      </c>
      <c r="BK35" s="1006"/>
      <c r="BL35" s="1006"/>
      <c r="BM35" s="375"/>
      <c r="BN35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5" s="375">
        <v>2</v>
      </c>
      <c r="BP35" s="375">
        <v>-2</v>
      </c>
      <c r="BQ35" s="375">
        <v>0</v>
      </c>
      <c r="BR35" s="375">
        <v>-4</v>
      </c>
      <c r="BS35" s="375">
        <v>-2</v>
      </c>
      <c r="BT35" s="375">
        <v>9</v>
      </c>
      <c r="BU35" s="971" t="s">
        <v>1840</v>
      </c>
      <c r="BV35" s="971" t="s">
        <v>1843</v>
      </c>
      <c r="BW35" s="375"/>
      <c r="BX35" s="375"/>
      <c r="BY35" s="375"/>
      <c r="BZ35" s="44"/>
    </row>
    <row r="36" spans="1:78" s="40" customFormat="1" ht="40.5" customHeight="1" x14ac:dyDescent="0.25">
      <c r="A36" s="333">
        <v>35</v>
      </c>
      <c r="B36" s="288" t="s">
        <v>1238</v>
      </c>
      <c r="C36" s="837" t="s">
        <v>2238</v>
      </c>
      <c r="D36" s="41" t="s">
        <v>1555</v>
      </c>
      <c r="E36" s="438" t="s">
        <v>1547</v>
      </c>
      <c r="F36" s="438"/>
      <c r="G36" s="438"/>
      <c r="H36" s="438"/>
      <c r="I36" s="644">
        <v>0.9</v>
      </c>
      <c r="J36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36" s="585">
        <f>Таблица7[[#This Row],[Размер отряда минимум]]*1.25</f>
        <v>22.5</v>
      </c>
      <c r="L36" s="585">
        <f>Таблица7[[#This Row],[Размер отряда норма]]*1.5</f>
        <v>33.75</v>
      </c>
      <c r="M36" s="586">
        <f>Таблица7[[#This Row],[Размер отряда минимум]]*2.5</f>
        <v>45</v>
      </c>
      <c r="N36" s="586"/>
      <c r="O36" s="586"/>
      <c r="P36" s="586"/>
      <c r="Q36" s="586"/>
      <c r="R36" s="41" t="s">
        <v>3</v>
      </c>
      <c r="S36" s="765" t="s">
        <v>1900</v>
      </c>
      <c r="T36" s="41" t="s">
        <v>975</v>
      </c>
      <c r="U36" s="823" t="s">
        <v>2175</v>
      </c>
      <c r="V36" s="935" t="s">
        <v>2029</v>
      </c>
      <c r="W36" s="158" t="s">
        <v>1001</v>
      </c>
      <c r="X36" s="821" t="s">
        <v>2105</v>
      </c>
      <c r="Y36" s="821" t="s">
        <v>2024</v>
      </c>
      <c r="Z36" s="41" t="s">
        <v>1036</v>
      </c>
      <c r="AA36" s="818" t="s">
        <v>1929</v>
      </c>
      <c r="AB36" s="41"/>
      <c r="AC36" s="41"/>
      <c r="AD36" s="158" t="s">
        <v>1002</v>
      </c>
      <c r="AE36" s="820" t="s">
        <v>2025</v>
      </c>
      <c r="AF36" s="90" t="s">
        <v>985</v>
      </c>
      <c r="AG36" s="90"/>
      <c r="AH36" s="90" t="s">
        <v>985</v>
      </c>
      <c r="AI36" s="90"/>
      <c r="AJ36" s="41" t="s">
        <v>1004</v>
      </c>
      <c r="AK36" s="409" t="s">
        <v>1952</v>
      </c>
      <c r="AL36" s="199" t="s">
        <v>1163</v>
      </c>
      <c r="AM36" s="41" t="s">
        <v>977</v>
      </c>
      <c r="AN36" s="41" t="s">
        <v>999</v>
      </c>
      <c r="AO36" s="818" t="s">
        <v>2032</v>
      </c>
      <c r="AP36" s="39" t="s">
        <v>1011</v>
      </c>
      <c r="AQ36" s="818" t="s">
        <v>2033</v>
      </c>
      <c r="AS36" s="40">
        <v>1500</v>
      </c>
      <c r="AT36" s="43">
        <v>1565</v>
      </c>
      <c r="AU36" s="405">
        <v>9</v>
      </c>
      <c r="AV36" s="405"/>
      <c r="AW36" s="405">
        <f>VLOOKUP(Таблица7[[#This Row],[Основное оружие]], Оружие[#All], 2, 0)</f>
        <v>2</v>
      </c>
      <c r="AX36" s="405">
        <f>IF(ISBLANK(Таблица7[[#This Row],[Дополнительное оружие]]),"", VLOOKUP(Таблица7[[#This Row],[Дополнительное оружие]], Оружие[#All], 2, 0))</f>
        <v>5</v>
      </c>
      <c r="AY3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3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6" s="405">
        <f>VLOOKUP(Таблица7[[#This Row],[Основное оружие]], Оружие[#All], 3, 0)</f>
        <v>10</v>
      </c>
      <c r="BC36" s="405">
        <f>IF(ISBLANK(Таблица7[[#This Row],[Дополнительное оружие]]),"", VLOOKUP(Таблица7[[#This Row],[Дополнительное оружие]], Оружие[#All], 3, 0))</f>
        <v>3</v>
      </c>
      <c r="BD3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3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" s="405">
        <f>Таблица7[[#This Row],[Броня]]+Таблица7[[#This Row],[Щит]]+Таблица7[[#This Row],[навык защиты]]</f>
        <v>26</v>
      </c>
      <c r="BK36" s="1006"/>
      <c r="BL36" s="1006"/>
      <c r="BM36" s="375"/>
      <c r="BN36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6" s="375">
        <v>2</v>
      </c>
      <c r="BP36" s="375">
        <v>-2</v>
      </c>
      <c r="BQ36" s="375">
        <v>0</v>
      </c>
      <c r="BR36" s="375">
        <v>-4</v>
      </c>
      <c r="BS36" s="375">
        <v>-2</v>
      </c>
      <c r="BT36" s="375">
        <v>11</v>
      </c>
      <c r="BU36" s="971" t="s">
        <v>1840</v>
      </c>
      <c r="BV36" s="971" t="s">
        <v>1844</v>
      </c>
      <c r="BW36" s="375"/>
      <c r="BX36" s="375"/>
      <c r="BY36" s="375"/>
      <c r="BZ36" s="44"/>
    </row>
    <row r="37" spans="1:78" s="40" customFormat="1" ht="40.5" customHeight="1" x14ac:dyDescent="0.25">
      <c r="A37" s="333">
        <v>36</v>
      </c>
      <c r="B37" s="288" t="s">
        <v>1239</v>
      </c>
      <c r="C37" s="837" t="s">
        <v>2239</v>
      </c>
      <c r="D37" s="41" t="s">
        <v>1555</v>
      </c>
      <c r="E37" s="438" t="s">
        <v>1547</v>
      </c>
      <c r="F37" s="438"/>
      <c r="G37" s="438"/>
      <c r="H37" s="438"/>
      <c r="I37" s="644">
        <v>0.9</v>
      </c>
      <c r="J37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21.6</v>
      </c>
      <c r="K37" s="585">
        <f>Таблица7[[#This Row],[Размер отряда минимум]]*1.25</f>
        <v>27</v>
      </c>
      <c r="L37" s="585">
        <f>Таблица7[[#This Row],[Размер отряда норма]]*1.5</f>
        <v>40.5</v>
      </c>
      <c r="M37" s="586">
        <f>Таблица7[[#This Row],[Размер отряда минимум]]*2.5</f>
        <v>54</v>
      </c>
      <c r="N37" s="586"/>
      <c r="O37" s="586"/>
      <c r="P37" s="586"/>
      <c r="Q37" s="586"/>
      <c r="R37" s="41" t="s">
        <v>3</v>
      </c>
      <c r="S37" s="765" t="s">
        <v>1900</v>
      </c>
      <c r="T37" s="41" t="s">
        <v>976</v>
      </c>
      <c r="U37" s="823" t="s">
        <v>2176</v>
      </c>
      <c r="V37" s="822" t="s">
        <v>2030</v>
      </c>
      <c r="W37" s="41" t="s">
        <v>1001</v>
      </c>
      <c r="X37" s="41" t="s">
        <v>1950</v>
      </c>
      <c r="Y37" s="41" t="s">
        <v>1949</v>
      </c>
      <c r="Z37" s="41" t="s">
        <v>1440</v>
      </c>
      <c r="AA37" s="818" t="s">
        <v>2020</v>
      </c>
      <c r="AB37" s="41"/>
      <c r="AC37" s="41"/>
      <c r="AD37" s="786" t="s">
        <v>1481</v>
      </c>
      <c r="AE37" s="41" t="s">
        <v>1978</v>
      </c>
      <c r="AF37" s="90" t="s">
        <v>985</v>
      </c>
      <c r="AG37" s="90"/>
      <c r="AH37" s="90" t="s">
        <v>985</v>
      </c>
      <c r="AI37" s="90"/>
      <c r="AJ37" s="41" t="s">
        <v>1005</v>
      </c>
      <c r="AK37" s="818" t="s">
        <v>2031</v>
      </c>
      <c r="AL37" s="199" t="s">
        <v>985</v>
      </c>
      <c r="AM37" s="41" t="s">
        <v>977</v>
      </c>
      <c r="AN37" s="41" t="s">
        <v>999</v>
      </c>
      <c r="AO37" s="818" t="s">
        <v>2032</v>
      </c>
      <c r="AP37" s="39" t="s">
        <v>1012</v>
      </c>
      <c r="AQ37" s="818" t="s">
        <v>2034</v>
      </c>
      <c r="AS37" s="40">
        <v>1565</v>
      </c>
      <c r="AT37" s="43"/>
      <c r="AU37" s="405">
        <v>9</v>
      </c>
      <c r="AV37" s="405" t="s">
        <v>1827</v>
      </c>
      <c r="AW37" s="405">
        <f>VLOOKUP(Таблица7[[#This Row],[Основное оружие]], Оружие[#All], 2, 0)</f>
        <v>0</v>
      </c>
      <c r="AX37" s="405">
        <f>IF(ISBLANK(Таблица7[[#This Row],[Дополнительное оружие]]),"", VLOOKUP(Таблица7[[#This Row],[Дополнительное оружие]], Оружие[#All], 2, 0))</f>
        <v>4</v>
      </c>
      <c r="AY3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3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37" s="405">
        <f>VLOOKUP(Таблица7[[#This Row],[Основное оружие]], Оружие[#All], 3, 0)</f>
        <v>1</v>
      </c>
      <c r="BC37" s="405">
        <f>IF(ISBLANK(Таблица7[[#This Row],[Дополнительное оружие]]),"", VLOOKUP(Таблица7[[#This Row],[Дополнительное оружие]], Оружие[#All], 3, 0))</f>
        <v>3</v>
      </c>
      <c r="BD3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3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3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" s="405">
        <f>Таблица7[[#This Row],[Броня]]+Таблица7[[#This Row],[Щит]]+Таблица7[[#This Row],[навык защиты]]</f>
        <v>23</v>
      </c>
      <c r="BK37" s="1006"/>
      <c r="BL37" s="1006"/>
      <c r="BM37" s="375"/>
      <c r="BN37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7" s="375">
        <v>2</v>
      </c>
      <c r="BP37" s="375">
        <v>-2</v>
      </c>
      <c r="BQ37" s="375">
        <v>0</v>
      </c>
      <c r="BR37" s="375">
        <v>-4</v>
      </c>
      <c r="BS37" s="375">
        <v>-2</v>
      </c>
      <c r="BT37" s="375">
        <v>11</v>
      </c>
      <c r="BU37" s="971" t="s">
        <v>1840</v>
      </c>
      <c r="BV37" s="971" t="s">
        <v>1844</v>
      </c>
      <c r="BW37" s="375"/>
      <c r="BX37" s="375"/>
      <c r="BY37" s="375"/>
      <c r="BZ37" s="44"/>
    </row>
    <row r="38" spans="1:78" s="40" customFormat="1" ht="40.5" customHeight="1" x14ac:dyDescent="0.25">
      <c r="A38" s="333">
        <v>37</v>
      </c>
      <c r="B38" s="288" t="s">
        <v>1240</v>
      </c>
      <c r="C38" s="837" t="s">
        <v>2240</v>
      </c>
      <c r="D38" s="41" t="s">
        <v>1555</v>
      </c>
      <c r="E38" s="438" t="s">
        <v>1547</v>
      </c>
      <c r="F38" s="438"/>
      <c r="G38" s="438"/>
      <c r="H38" s="438"/>
      <c r="I38" s="644">
        <v>0.9</v>
      </c>
      <c r="J38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38" s="585">
        <f>Таблица7[[#This Row],[Размер отряда минимум]]*1.25</f>
        <v>22.5</v>
      </c>
      <c r="L38" s="585">
        <f>Таблица7[[#This Row],[Размер отряда норма]]*1.5</f>
        <v>33.75</v>
      </c>
      <c r="M38" s="586">
        <f>Таблица7[[#This Row],[Размер отряда минимум]]*2.5</f>
        <v>45</v>
      </c>
      <c r="N38" s="586"/>
      <c r="O38" s="586"/>
      <c r="P38" s="586"/>
      <c r="Q38" s="586"/>
      <c r="R38" s="41" t="s">
        <v>3</v>
      </c>
      <c r="S38" s="765" t="s">
        <v>1900</v>
      </c>
      <c r="T38" s="41" t="s">
        <v>975</v>
      </c>
      <c r="U38" s="823" t="s">
        <v>2177</v>
      </c>
      <c r="V38" s="822" t="s">
        <v>2035</v>
      </c>
      <c r="W38" s="158" t="s">
        <v>1001</v>
      </c>
      <c r="X38" s="821" t="s">
        <v>2105</v>
      </c>
      <c r="Y38" s="821" t="s">
        <v>2024</v>
      </c>
      <c r="Z38" s="39" t="s">
        <v>1438</v>
      </c>
      <c r="AA38" s="907" t="s">
        <v>2037</v>
      </c>
      <c r="AB38" s="39"/>
      <c r="AC38" s="39"/>
      <c r="AD38" s="158" t="s">
        <v>1002</v>
      </c>
      <c r="AE38" s="820" t="s">
        <v>2025</v>
      </c>
      <c r="AF38" s="90" t="s">
        <v>985</v>
      </c>
      <c r="AG38" s="90"/>
      <c r="AH38" s="90" t="s">
        <v>985</v>
      </c>
      <c r="AI38" s="90"/>
      <c r="AJ38" s="158" t="s">
        <v>1004</v>
      </c>
      <c r="AK38" s="409" t="s">
        <v>1952</v>
      </c>
      <c r="AL38" s="199" t="s">
        <v>1163</v>
      </c>
      <c r="AM38" s="41" t="s">
        <v>977</v>
      </c>
      <c r="AN38" s="41" t="s">
        <v>999</v>
      </c>
      <c r="AO38" s="818" t="s">
        <v>2032</v>
      </c>
      <c r="AP38" s="39" t="s">
        <v>1013</v>
      </c>
      <c r="AQ38" s="821" t="s">
        <v>2038</v>
      </c>
      <c r="AS38" s="40">
        <v>1500</v>
      </c>
      <c r="AT38" s="43">
        <v>1565</v>
      </c>
      <c r="AU38" s="405">
        <v>9</v>
      </c>
      <c r="AV38" s="405"/>
      <c r="AW38" s="405">
        <f>VLOOKUP(Таблица7[[#This Row],[Основное оружие]], Оружие[#All], 2, 0)</f>
        <v>2</v>
      </c>
      <c r="AX38" s="405">
        <f>IF(ISBLANK(Таблица7[[#This Row],[Дополнительное оружие]]),"", VLOOKUP(Таблица7[[#This Row],[Дополнительное оружие]], Оружие[#All], 2, 0))</f>
        <v>3</v>
      </c>
      <c r="AY3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3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38" s="405">
        <f>VLOOKUP(Таблица7[[#This Row],[Основное оружие]], Оружие[#All], 3, 0)</f>
        <v>10</v>
      </c>
      <c r="BC38" s="405">
        <f>IF(ISBLANK(Таблица7[[#This Row],[Дополнительное оружие]]),"", VLOOKUP(Таблица7[[#This Row],[Дополнительное оружие]], Оружие[#All], 3, 0))</f>
        <v>3</v>
      </c>
      <c r="BD3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3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" s="405">
        <f>Таблица7[[#This Row],[Броня]]+Таблица7[[#This Row],[Щит]]+Таблица7[[#This Row],[навык защиты]]</f>
        <v>26</v>
      </c>
      <c r="BK38" s="1006"/>
      <c r="BL38" s="1006"/>
      <c r="BM38" s="375"/>
      <c r="BN38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8" s="375">
        <v>2</v>
      </c>
      <c r="BP38" s="375">
        <v>-2</v>
      </c>
      <c r="BQ38" s="375">
        <v>0</v>
      </c>
      <c r="BR38" s="375">
        <v>-4</v>
      </c>
      <c r="BS38" s="375">
        <v>-2</v>
      </c>
      <c r="BT38" s="375">
        <v>11</v>
      </c>
      <c r="BU38" s="971" t="s">
        <v>1840</v>
      </c>
      <c r="BV38" s="971" t="s">
        <v>1844</v>
      </c>
      <c r="BW38" s="375"/>
      <c r="BX38" s="375"/>
      <c r="BY38" s="375"/>
      <c r="BZ38" s="44"/>
    </row>
    <row r="39" spans="1:78" s="40" customFormat="1" ht="40.5" customHeight="1" x14ac:dyDescent="0.25">
      <c r="A39" s="333">
        <v>38</v>
      </c>
      <c r="B39" s="288" t="s">
        <v>1241</v>
      </c>
      <c r="C39" s="891" t="s">
        <v>2241</v>
      </c>
      <c r="D39" s="41" t="s">
        <v>1555</v>
      </c>
      <c r="E39" s="438" t="s">
        <v>1547</v>
      </c>
      <c r="F39" s="438"/>
      <c r="G39" s="438"/>
      <c r="H39" s="438"/>
      <c r="I39" s="644">
        <v>0.9</v>
      </c>
      <c r="J39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21.6</v>
      </c>
      <c r="K39" s="585">
        <f>Таблица7[[#This Row],[Размер отряда минимум]]*1.25</f>
        <v>27</v>
      </c>
      <c r="L39" s="585">
        <f>Таблица7[[#This Row],[Размер отряда норма]]*1.5</f>
        <v>40.5</v>
      </c>
      <c r="M39" s="586">
        <f>Таблица7[[#This Row],[Размер отряда минимум]]*2.5</f>
        <v>54</v>
      </c>
      <c r="N39" s="586"/>
      <c r="O39" s="586"/>
      <c r="P39" s="586"/>
      <c r="Q39" s="586"/>
      <c r="R39" s="41" t="s">
        <v>3</v>
      </c>
      <c r="S39" s="765" t="s">
        <v>1900</v>
      </c>
      <c r="T39" s="41" t="s">
        <v>976</v>
      </c>
      <c r="U39" s="823" t="s">
        <v>2178</v>
      </c>
      <c r="V39" s="822" t="s">
        <v>2036</v>
      </c>
      <c r="W39" s="41" t="s">
        <v>1001</v>
      </c>
      <c r="X39" s="41" t="s">
        <v>1950</v>
      </c>
      <c r="Y39" s="41" t="s">
        <v>1949</v>
      </c>
      <c r="Z39" s="41" t="s">
        <v>1440</v>
      </c>
      <c r="AA39" s="818" t="s">
        <v>2020</v>
      </c>
      <c r="AB39" s="41"/>
      <c r="AC39" s="41"/>
      <c r="AD39" s="158" t="s">
        <v>1481</v>
      </c>
      <c r="AE39" s="41" t="s">
        <v>1978</v>
      </c>
      <c r="AF39" s="90" t="s">
        <v>985</v>
      </c>
      <c r="AG39" s="90"/>
      <c r="AH39" s="90" t="s">
        <v>985</v>
      </c>
      <c r="AI39" s="90"/>
      <c r="AJ39" s="41" t="s">
        <v>1005</v>
      </c>
      <c r="AK39" s="818" t="s">
        <v>2031</v>
      </c>
      <c r="AL39" s="199" t="s">
        <v>985</v>
      </c>
      <c r="AM39" s="41" t="s">
        <v>977</v>
      </c>
      <c r="AN39" s="41" t="s">
        <v>999</v>
      </c>
      <c r="AO39" s="818" t="s">
        <v>2032</v>
      </c>
      <c r="AP39" s="39" t="s">
        <v>1014</v>
      </c>
      <c r="AQ39" s="821" t="s">
        <v>2039</v>
      </c>
      <c r="AS39" s="40">
        <v>1565</v>
      </c>
      <c r="AT39" s="43"/>
      <c r="AU39" s="405">
        <v>9</v>
      </c>
      <c r="AV39" s="405" t="s">
        <v>1827</v>
      </c>
      <c r="AW39" s="405">
        <f>VLOOKUP(Таблица7[[#This Row],[Основное оружие]], Оружие[#All], 2, 0)</f>
        <v>0</v>
      </c>
      <c r="AX39" s="405">
        <f>IF(ISBLANK(Таблица7[[#This Row],[Дополнительное оружие]]),"", VLOOKUP(Таблица7[[#This Row],[Дополнительное оружие]], Оружие[#All], 2, 0))</f>
        <v>4</v>
      </c>
      <c r="AY3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3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39" s="405">
        <f>VLOOKUP(Таблица7[[#This Row],[Основное оружие]], Оружие[#All], 3, 0)</f>
        <v>1</v>
      </c>
      <c r="BC39" s="405">
        <f>IF(ISBLANK(Таблица7[[#This Row],[Дополнительное оружие]]),"", VLOOKUP(Таблица7[[#This Row],[Дополнительное оружие]], Оружие[#All], 3, 0))</f>
        <v>3</v>
      </c>
      <c r="BD3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3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3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" s="405">
        <f>Таблица7[[#This Row],[Броня]]+Таблица7[[#This Row],[Щит]]+Таблица7[[#This Row],[навык защиты]]</f>
        <v>23</v>
      </c>
      <c r="BK39" s="1006"/>
      <c r="BL39" s="1006"/>
      <c r="BM39" s="375"/>
      <c r="BN39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9" s="375">
        <v>2</v>
      </c>
      <c r="BP39" s="375">
        <v>-2</v>
      </c>
      <c r="BQ39" s="375">
        <v>0</v>
      </c>
      <c r="BR39" s="375">
        <v>-4</v>
      </c>
      <c r="BS39" s="375">
        <v>-2</v>
      </c>
      <c r="BT39" s="375">
        <v>11</v>
      </c>
      <c r="BU39" s="971" t="s">
        <v>1840</v>
      </c>
      <c r="BV39" s="971" t="s">
        <v>1844</v>
      </c>
      <c r="BW39" s="375"/>
      <c r="BX39" s="375"/>
      <c r="BY39" s="375"/>
      <c r="BZ39" s="44"/>
    </row>
    <row r="40" spans="1:78" s="40" customFormat="1" ht="40.5" customHeight="1" x14ac:dyDescent="0.25">
      <c r="A40" s="333">
        <v>39</v>
      </c>
      <c r="B40" s="288" t="s">
        <v>1242</v>
      </c>
      <c r="C40" s="837" t="s">
        <v>2242</v>
      </c>
      <c r="D40" s="41" t="s">
        <v>1555</v>
      </c>
      <c r="E40" s="438" t="s">
        <v>1547</v>
      </c>
      <c r="F40" s="438"/>
      <c r="G40" s="438"/>
      <c r="H40" s="438"/>
      <c r="I40" s="644">
        <v>0.9</v>
      </c>
      <c r="J40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40" s="585">
        <f>Таблица7[[#This Row],[Размер отряда минимум]]*1.25</f>
        <v>22.5</v>
      </c>
      <c r="L40" s="585">
        <f>Таблица7[[#This Row],[Размер отряда норма]]*1.5</f>
        <v>33.75</v>
      </c>
      <c r="M40" s="586">
        <f>Таблица7[[#This Row],[Размер отряда минимум]]*2.5</f>
        <v>45</v>
      </c>
      <c r="N40" s="586"/>
      <c r="O40" s="586"/>
      <c r="P40" s="586"/>
      <c r="Q40" s="586"/>
      <c r="R40" s="41" t="s">
        <v>3</v>
      </c>
      <c r="S40" s="765" t="s">
        <v>1900</v>
      </c>
      <c r="T40" s="41" t="s">
        <v>975</v>
      </c>
      <c r="U40" s="823" t="s">
        <v>2179</v>
      </c>
      <c r="V40" s="822" t="s">
        <v>2040</v>
      </c>
      <c r="W40" s="41" t="s">
        <v>1001</v>
      </c>
      <c r="X40" s="821" t="s">
        <v>2105</v>
      </c>
      <c r="Y40" s="821" t="s">
        <v>2024</v>
      </c>
      <c r="Z40" s="39" t="s">
        <v>1439</v>
      </c>
      <c r="AA40" s="821" t="s">
        <v>2042</v>
      </c>
      <c r="AB40" s="39"/>
      <c r="AC40" s="39"/>
      <c r="AD40" s="158" t="s">
        <v>1002</v>
      </c>
      <c r="AE40" s="820" t="s">
        <v>2025</v>
      </c>
      <c r="AF40" s="90" t="s">
        <v>985</v>
      </c>
      <c r="AG40" s="90"/>
      <c r="AH40" s="90" t="s">
        <v>985</v>
      </c>
      <c r="AI40" s="90"/>
      <c r="AJ40" s="41" t="s">
        <v>1004</v>
      </c>
      <c r="AK40" s="409" t="s">
        <v>1952</v>
      </c>
      <c r="AL40" s="199" t="s">
        <v>1163</v>
      </c>
      <c r="AM40" s="41" t="s">
        <v>977</v>
      </c>
      <c r="AN40" s="41" t="s">
        <v>999</v>
      </c>
      <c r="AO40" s="818" t="s">
        <v>2032</v>
      </c>
      <c r="AP40" s="39" t="s">
        <v>1015</v>
      </c>
      <c r="AQ40" s="821" t="s">
        <v>2043</v>
      </c>
      <c r="AS40" s="40">
        <v>1500</v>
      </c>
      <c r="AT40" s="43">
        <v>1565</v>
      </c>
      <c r="AU40" s="405">
        <v>9</v>
      </c>
      <c r="AV40" s="405"/>
      <c r="AW40" s="405">
        <f>VLOOKUP(Таблица7[[#This Row],[Основное оружие]], Оружие[#All], 2, 0)</f>
        <v>2</v>
      </c>
      <c r="AX40" s="405">
        <f>IF(ISBLANK(Таблица7[[#This Row],[Дополнительное оружие]]),"", VLOOKUP(Таблица7[[#This Row],[Дополнительное оружие]], Оружие[#All], 2, 0))</f>
        <v>3</v>
      </c>
      <c r="AY4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4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4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0" s="405">
        <f>VLOOKUP(Таблица7[[#This Row],[Основное оружие]], Оружие[#All], 3, 0)</f>
        <v>10</v>
      </c>
      <c r="BC40" s="405">
        <f>IF(ISBLANK(Таблица7[[#This Row],[Дополнительное оружие]]),"", VLOOKUP(Таблица7[[#This Row],[Дополнительное оружие]], Оружие[#All], 3, 0))</f>
        <v>3</v>
      </c>
      <c r="BD4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" s="405">
        <f>Таблица7[[#This Row],[Броня]]+Таблица7[[#This Row],[Щит]]+Таблица7[[#This Row],[навык защиты]]</f>
        <v>26</v>
      </c>
      <c r="BK40" s="1006"/>
      <c r="BL40" s="1006"/>
      <c r="BM40" s="375"/>
      <c r="BN40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0" s="375">
        <v>2</v>
      </c>
      <c r="BP40" s="375">
        <v>-2</v>
      </c>
      <c r="BQ40" s="375">
        <v>0</v>
      </c>
      <c r="BR40" s="375">
        <v>-4</v>
      </c>
      <c r="BS40" s="375">
        <v>-2</v>
      </c>
      <c r="BT40" s="375">
        <v>11</v>
      </c>
      <c r="BU40" s="971" t="s">
        <v>1840</v>
      </c>
      <c r="BV40" s="971" t="s">
        <v>1844</v>
      </c>
      <c r="BW40" s="375"/>
      <c r="BX40" s="375"/>
      <c r="BY40" s="375"/>
      <c r="BZ40" s="44"/>
    </row>
    <row r="41" spans="1:78" s="40" customFormat="1" ht="40.5" customHeight="1" x14ac:dyDescent="0.25">
      <c r="A41" s="333">
        <v>40</v>
      </c>
      <c r="B41" s="288" t="s">
        <v>1243</v>
      </c>
      <c r="C41" s="837" t="s">
        <v>2243</v>
      </c>
      <c r="D41" s="41" t="s">
        <v>1555</v>
      </c>
      <c r="E41" s="438" t="s">
        <v>1547</v>
      </c>
      <c r="F41" s="438"/>
      <c r="G41" s="438"/>
      <c r="H41" s="438"/>
      <c r="I41" s="644">
        <v>0.9</v>
      </c>
      <c r="J41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21.6</v>
      </c>
      <c r="K41" s="585">
        <f>Таблица7[[#This Row],[Размер отряда минимум]]*1.25</f>
        <v>27</v>
      </c>
      <c r="L41" s="585">
        <f>Таблица7[[#This Row],[Размер отряда норма]]*1.5</f>
        <v>40.5</v>
      </c>
      <c r="M41" s="586">
        <f>Таблица7[[#This Row],[Размер отряда минимум]]*2.5</f>
        <v>54</v>
      </c>
      <c r="N41" s="586"/>
      <c r="O41" s="586"/>
      <c r="P41" s="586"/>
      <c r="Q41" s="586"/>
      <c r="R41" s="41" t="s">
        <v>3</v>
      </c>
      <c r="S41" s="765" t="s">
        <v>1900</v>
      </c>
      <c r="T41" s="41" t="s">
        <v>976</v>
      </c>
      <c r="U41" s="823" t="s">
        <v>2180</v>
      </c>
      <c r="V41" s="822" t="s">
        <v>2041</v>
      </c>
      <c r="W41" s="41" t="s">
        <v>1001</v>
      </c>
      <c r="X41" s="41" t="s">
        <v>1950</v>
      </c>
      <c r="Y41" s="41" t="s">
        <v>1949</v>
      </c>
      <c r="Z41" s="41" t="s">
        <v>1440</v>
      </c>
      <c r="AA41" s="818" t="s">
        <v>2020</v>
      </c>
      <c r="AB41" s="41"/>
      <c r="AC41" s="41"/>
      <c r="AD41" s="158" t="s">
        <v>1481</v>
      </c>
      <c r="AE41" s="41" t="s">
        <v>1978</v>
      </c>
      <c r="AF41" s="90" t="s">
        <v>985</v>
      </c>
      <c r="AG41" s="90"/>
      <c r="AH41" s="90" t="s">
        <v>985</v>
      </c>
      <c r="AI41" s="90"/>
      <c r="AJ41" s="41" t="s">
        <v>1005</v>
      </c>
      <c r="AK41" s="818" t="s">
        <v>2031</v>
      </c>
      <c r="AL41" s="199" t="s">
        <v>985</v>
      </c>
      <c r="AM41" s="41" t="s">
        <v>977</v>
      </c>
      <c r="AN41" s="41" t="s">
        <v>999</v>
      </c>
      <c r="AO41" s="818" t="s">
        <v>2032</v>
      </c>
      <c r="AP41" s="39" t="s">
        <v>1016</v>
      </c>
      <c r="AQ41" s="821" t="s">
        <v>2044</v>
      </c>
      <c r="AS41" s="40">
        <v>1565</v>
      </c>
      <c r="AT41" s="43"/>
      <c r="AU41" s="405">
        <v>9</v>
      </c>
      <c r="AV41" s="405" t="s">
        <v>1827</v>
      </c>
      <c r="AW41" s="405">
        <f>VLOOKUP(Таблица7[[#This Row],[Основное оружие]], Оружие[#All], 2, 0)</f>
        <v>0</v>
      </c>
      <c r="AX41" s="405">
        <f>IF(ISBLANK(Таблица7[[#This Row],[Дополнительное оружие]]),"", VLOOKUP(Таблица7[[#This Row],[Дополнительное оружие]], Оружие[#All], 2, 0))</f>
        <v>4</v>
      </c>
      <c r="AY4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4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41" s="405">
        <f>VLOOKUP(Таблица7[[#This Row],[Основное оружие]], Оружие[#All], 3, 0)</f>
        <v>1</v>
      </c>
      <c r="BC41" s="405">
        <f>IF(ISBLANK(Таблица7[[#This Row],[Дополнительное оружие]]),"", VLOOKUP(Таблица7[[#This Row],[Дополнительное оружие]], Оружие[#All], 3, 0))</f>
        <v>3</v>
      </c>
      <c r="BD4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4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4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" s="405">
        <f>Таблица7[[#This Row],[Броня]]+Таблица7[[#This Row],[Щит]]+Таблица7[[#This Row],[навык защиты]]</f>
        <v>23</v>
      </c>
      <c r="BK41" s="1006"/>
      <c r="BL41" s="1006"/>
      <c r="BM41" s="375"/>
      <c r="BN41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1" s="375">
        <v>2</v>
      </c>
      <c r="BP41" s="375">
        <v>-2</v>
      </c>
      <c r="BQ41" s="375">
        <v>0</v>
      </c>
      <c r="BR41" s="375">
        <v>-4</v>
      </c>
      <c r="BS41" s="375">
        <v>-2</v>
      </c>
      <c r="BT41" s="375">
        <v>11</v>
      </c>
      <c r="BU41" s="971" t="s">
        <v>1840</v>
      </c>
      <c r="BV41" s="971" t="s">
        <v>1844</v>
      </c>
      <c r="BW41" s="375"/>
      <c r="BX41" s="375"/>
      <c r="BY41" s="375"/>
      <c r="BZ41" s="44"/>
    </row>
    <row r="42" spans="1:78" s="40" customFormat="1" ht="40.5" customHeight="1" x14ac:dyDescent="0.25">
      <c r="A42" s="333">
        <v>41</v>
      </c>
      <c r="B42" s="288" t="s">
        <v>1244</v>
      </c>
      <c r="C42" s="837" t="s">
        <v>2244</v>
      </c>
      <c r="D42" s="41" t="s">
        <v>1555</v>
      </c>
      <c r="E42" s="438" t="s">
        <v>1547</v>
      </c>
      <c r="F42" s="438"/>
      <c r="G42" s="438"/>
      <c r="H42" s="438"/>
      <c r="I42" s="644">
        <v>0.9</v>
      </c>
      <c r="J42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42" s="585">
        <f>Таблица7[[#This Row],[Размер отряда минимум]]*1.25</f>
        <v>22.5</v>
      </c>
      <c r="L42" s="585">
        <f>Таблица7[[#This Row],[Размер отряда норма]]*1.5</f>
        <v>33.75</v>
      </c>
      <c r="M42" s="586">
        <f>Таблица7[[#This Row],[Размер отряда минимум]]*2.5</f>
        <v>45</v>
      </c>
      <c r="N42" s="586"/>
      <c r="O42" s="586"/>
      <c r="P42" s="586"/>
      <c r="Q42" s="586"/>
      <c r="R42" s="41" t="s">
        <v>3</v>
      </c>
      <c r="S42" s="765" t="s">
        <v>1900</v>
      </c>
      <c r="T42" s="41" t="s">
        <v>975</v>
      </c>
      <c r="U42" s="823" t="s">
        <v>2181</v>
      </c>
      <c r="V42" s="822" t="s">
        <v>2046</v>
      </c>
      <c r="W42" s="41" t="s">
        <v>1001</v>
      </c>
      <c r="X42" s="960" t="s">
        <v>2105</v>
      </c>
      <c r="Y42" s="821" t="s">
        <v>2024</v>
      </c>
      <c r="Z42" s="39" t="s">
        <v>1512</v>
      </c>
      <c r="AA42" s="821" t="s">
        <v>2047</v>
      </c>
      <c r="AB42" s="39"/>
      <c r="AC42" s="39"/>
      <c r="AD42" s="158" t="s">
        <v>1002</v>
      </c>
      <c r="AE42" s="820" t="s">
        <v>2025</v>
      </c>
      <c r="AF42" s="90" t="s">
        <v>985</v>
      </c>
      <c r="AG42" s="90"/>
      <c r="AH42" s="90" t="s">
        <v>985</v>
      </c>
      <c r="AI42" s="90"/>
      <c r="AJ42" s="41" t="s">
        <v>1004</v>
      </c>
      <c r="AK42" s="409" t="s">
        <v>1952</v>
      </c>
      <c r="AL42" s="199" t="s">
        <v>1163</v>
      </c>
      <c r="AM42" s="41" t="s">
        <v>977</v>
      </c>
      <c r="AN42" s="41" t="s">
        <v>999</v>
      </c>
      <c r="AO42" s="818" t="s">
        <v>2032</v>
      </c>
      <c r="AP42" s="39" t="s">
        <v>1017</v>
      </c>
      <c r="AQ42" s="821" t="s">
        <v>2048</v>
      </c>
      <c r="AS42" s="40">
        <v>1500</v>
      </c>
      <c r="AT42" s="43">
        <v>1565</v>
      </c>
      <c r="AU42" s="405">
        <v>9</v>
      </c>
      <c r="AV42" s="405"/>
      <c r="AW42" s="405">
        <f>VLOOKUP(Таблица7[[#This Row],[Основное оружие]], Оружие[#All], 2, 0)</f>
        <v>2</v>
      </c>
      <c r="AX42" s="405">
        <f>IF(ISBLANK(Таблица7[[#This Row],[Дополнительное оружие]]),"", VLOOKUP(Таблица7[[#This Row],[Дополнительное оружие]], Оружие[#All], 2, 0))</f>
        <v>4</v>
      </c>
      <c r="AY4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4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4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42" s="405">
        <f>VLOOKUP(Таблица7[[#This Row],[Основное оружие]], Оружие[#All], 3, 0)</f>
        <v>10</v>
      </c>
      <c r="BC42" s="405">
        <f>IF(ISBLANK(Таблица7[[#This Row],[Дополнительное оружие]]),"", VLOOKUP(Таблица7[[#This Row],[Дополнительное оружие]], Оружие[#All], 3, 0))</f>
        <v>6</v>
      </c>
      <c r="BD4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" s="405">
        <f>Таблица7[[#This Row],[Броня]]+Таблица7[[#This Row],[Щит]]+Таблица7[[#This Row],[навык защиты]]</f>
        <v>26</v>
      </c>
      <c r="BK42" s="1006"/>
      <c r="BL42" s="1006"/>
      <c r="BM42" s="375"/>
      <c r="BN42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2" s="375">
        <v>2</v>
      </c>
      <c r="BP42" s="375">
        <v>-2</v>
      </c>
      <c r="BQ42" s="375">
        <v>0</v>
      </c>
      <c r="BR42" s="375">
        <v>-4</v>
      </c>
      <c r="BS42" s="375">
        <v>-2</v>
      </c>
      <c r="BT42" s="375">
        <v>11</v>
      </c>
      <c r="BU42" s="971" t="s">
        <v>1840</v>
      </c>
      <c r="BV42" s="971" t="s">
        <v>1844</v>
      </c>
      <c r="BW42" s="375"/>
      <c r="BX42" s="375"/>
      <c r="BY42" s="375"/>
      <c r="BZ42" s="44"/>
    </row>
    <row r="43" spans="1:78" s="40" customFormat="1" ht="40.5" customHeight="1" x14ac:dyDescent="0.25">
      <c r="A43" s="333">
        <v>42</v>
      </c>
      <c r="B43" s="288" t="s">
        <v>1245</v>
      </c>
      <c r="C43" s="837" t="s">
        <v>2245</v>
      </c>
      <c r="D43" s="41" t="s">
        <v>1555</v>
      </c>
      <c r="E43" s="438" t="s">
        <v>1547</v>
      </c>
      <c r="F43" s="438"/>
      <c r="G43" s="438"/>
      <c r="H43" s="438"/>
      <c r="I43" s="644">
        <v>0.9</v>
      </c>
      <c r="J43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21.6</v>
      </c>
      <c r="K43" s="585">
        <f>Таблица7[[#This Row],[Размер отряда минимум]]*1.25</f>
        <v>27</v>
      </c>
      <c r="L43" s="585">
        <f>Таблица7[[#This Row],[Размер отряда норма]]*1.5</f>
        <v>40.5</v>
      </c>
      <c r="M43" s="586">
        <f>Таблица7[[#This Row],[Размер отряда минимум]]*2.5</f>
        <v>54</v>
      </c>
      <c r="N43" s="586"/>
      <c r="O43" s="586"/>
      <c r="P43" s="586"/>
      <c r="Q43" s="586"/>
      <c r="R43" s="41" t="s">
        <v>3</v>
      </c>
      <c r="S43" s="765" t="s">
        <v>1900</v>
      </c>
      <c r="T43" s="41" t="s">
        <v>976</v>
      </c>
      <c r="U43" s="823" t="s">
        <v>2182</v>
      </c>
      <c r="V43" s="822" t="s">
        <v>2045</v>
      </c>
      <c r="W43" s="41" t="s">
        <v>1001</v>
      </c>
      <c r="X43" s="41" t="s">
        <v>1950</v>
      </c>
      <c r="Y43" s="41" t="s">
        <v>1949</v>
      </c>
      <c r="Z43" s="41" t="s">
        <v>1440</v>
      </c>
      <c r="AA43" s="818" t="s">
        <v>2020</v>
      </c>
      <c r="AB43" s="41"/>
      <c r="AC43" s="41"/>
      <c r="AD43" s="158" t="s">
        <v>1481</v>
      </c>
      <c r="AE43" s="41" t="s">
        <v>1978</v>
      </c>
      <c r="AF43" s="90" t="s">
        <v>985</v>
      </c>
      <c r="AG43" s="90"/>
      <c r="AH43" s="90" t="s">
        <v>985</v>
      </c>
      <c r="AI43" s="90"/>
      <c r="AJ43" s="41" t="s">
        <v>1005</v>
      </c>
      <c r="AK43" s="818" t="s">
        <v>2031</v>
      </c>
      <c r="AL43" s="199" t="s">
        <v>985</v>
      </c>
      <c r="AM43" s="41" t="s">
        <v>977</v>
      </c>
      <c r="AN43" s="41" t="s">
        <v>999</v>
      </c>
      <c r="AO43" s="821" t="s">
        <v>2032</v>
      </c>
      <c r="AP43" s="39" t="s">
        <v>1018</v>
      </c>
      <c r="AQ43" s="821" t="s">
        <v>2049</v>
      </c>
      <c r="AS43" s="40">
        <v>1565</v>
      </c>
      <c r="AT43" s="43"/>
      <c r="AU43" s="405">
        <v>9</v>
      </c>
      <c r="AV43" s="405" t="s">
        <v>1827</v>
      </c>
      <c r="AW43" s="405">
        <f>VLOOKUP(Таблица7[[#This Row],[Основное оружие]], Оружие[#All], 2, 0)</f>
        <v>0</v>
      </c>
      <c r="AX43" s="405">
        <f>IF(ISBLANK(Таблица7[[#This Row],[Дополнительное оружие]]),"", VLOOKUP(Таблица7[[#This Row],[Дополнительное оружие]], Оружие[#All], 2, 0))</f>
        <v>4</v>
      </c>
      <c r="AY4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4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43" s="405">
        <f>VLOOKUP(Таблица7[[#This Row],[Основное оружие]], Оружие[#All], 3, 0)</f>
        <v>1</v>
      </c>
      <c r="BC43" s="405">
        <f>IF(ISBLANK(Таблица7[[#This Row],[Дополнительное оружие]]),"", VLOOKUP(Таблица7[[#This Row],[Дополнительное оружие]], Оружие[#All], 3, 0))</f>
        <v>3</v>
      </c>
      <c r="BD4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4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4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" s="405">
        <f>Таблица7[[#This Row],[Броня]]+Таблица7[[#This Row],[Щит]]+Таблица7[[#This Row],[навык защиты]]</f>
        <v>23</v>
      </c>
      <c r="BK43" s="1006"/>
      <c r="BL43" s="1006"/>
      <c r="BM43" s="375"/>
      <c r="BN43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3" s="375">
        <v>2</v>
      </c>
      <c r="BP43" s="375">
        <v>-2</v>
      </c>
      <c r="BQ43" s="375">
        <v>0</v>
      </c>
      <c r="BR43" s="375">
        <v>-4</v>
      </c>
      <c r="BS43" s="375">
        <v>-2</v>
      </c>
      <c r="BT43" s="375">
        <v>11</v>
      </c>
      <c r="BU43" s="971" t="s">
        <v>1840</v>
      </c>
      <c r="BV43" s="971" t="s">
        <v>1844</v>
      </c>
      <c r="BW43" s="375"/>
      <c r="BX43" s="375"/>
      <c r="BY43" s="375"/>
      <c r="BZ43" s="44"/>
    </row>
    <row r="44" spans="1:78" s="40" customFormat="1" ht="40.5" customHeight="1" x14ac:dyDescent="0.25">
      <c r="A44" s="333">
        <v>43</v>
      </c>
      <c r="B44" s="288" t="s">
        <v>1246</v>
      </c>
      <c r="C44" s="821" t="s">
        <v>2055</v>
      </c>
      <c r="D44" s="41" t="s">
        <v>1556</v>
      </c>
      <c r="E44" s="41" t="s">
        <v>1570</v>
      </c>
      <c r="F44" s="41"/>
      <c r="G44" s="41"/>
      <c r="H44" s="41"/>
      <c r="I44" s="644">
        <v>0.75</v>
      </c>
      <c r="J44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44" s="585">
        <f>Таблица7[[#This Row],[Размер отряда минимум]]*1.25</f>
        <v>84.375</v>
      </c>
      <c r="L44" s="585">
        <f>Таблица7[[#This Row],[Размер отряда норма]]*1.5</f>
        <v>126.5625</v>
      </c>
      <c r="M44" s="586">
        <f>Таблица7[[#This Row],[Размер отряда минимум]]*2.5</f>
        <v>168.75</v>
      </c>
      <c r="N44" s="586"/>
      <c r="O44" s="586"/>
      <c r="P44" s="586"/>
      <c r="Q44" s="586"/>
      <c r="R44" s="41" t="s">
        <v>3</v>
      </c>
      <c r="S44" s="765" t="s">
        <v>1900</v>
      </c>
      <c r="T44" s="41" t="s">
        <v>975</v>
      </c>
      <c r="U44" s="823" t="s">
        <v>2183</v>
      </c>
      <c r="V44" s="822" t="s">
        <v>2054</v>
      </c>
      <c r="W44" s="41" t="s">
        <v>1001</v>
      </c>
      <c r="X44" s="41" t="s">
        <v>1469</v>
      </c>
      <c r="Y44" s="41" t="s">
        <v>2056</v>
      </c>
      <c r="Z44" s="41" t="s">
        <v>1036</v>
      </c>
      <c r="AA44" s="818" t="s">
        <v>1929</v>
      </c>
      <c r="AB44" s="41"/>
      <c r="AC44" s="41"/>
      <c r="AD44" s="158" t="s">
        <v>985</v>
      </c>
      <c r="AE44" s="158"/>
      <c r="AF44" s="41" t="s">
        <v>991</v>
      </c>
      <c r="AG44" s="821" t="s">
        <v>1951</v>
      </c>
      <c r="AH44" s="41" t="s">
        <v>985</v>
      </c>
      <c r="AI44" s="41"/>
      <c r="AJ44" s="158" t="s">
        <v>985</v>
      </c>
      <c r="AK44" s="158"/>
      <c r="AL44" s="199" t="s">
        <v>985</v>
      </c>
      <c r="AM44" s="41" t="s">
        <v>978</v>
      </c>
      <c r="AN44" s="41" t="s">
        <v>1006</v>
      </c>
      <c r="AO44" s="821" t="s">
        <v>2057</v>
      </c>
      <c r="AP44" s="41" t="s">
        <v>986</v>
      </c>
      <c r="AQ44" s="765" t="s">
        <v>1907</v>
      </c>
      <c r="AS44" s="40">
        <v>1500</v>
      </c>
      <c r="AT44" s="43">
        <v>1550</v>
      </c>
      <c r="AU44" s="405">
        <v>2</v>
      </c>
      <c r="AV44" s="405" t="s">
        <v>1827</v>
      </c>
      <c r="AW44" s="405">
        <f>VLOOKUP(Таблица7[[#This Row],[Основное оружие]], Оружие[#All], 2, 0)</f>
        <v>0</v>
      </c>
      <c r="AX44" s="405">
        <f>IF(ISBLANK(Таблица7[[#This Row],[Дополнительное оружие]]),"", VLOOKUP(Таблица7[[#This Row],[Дополнительное оружие]], Оружие[#All], 2, 0))</f>
        <v>5</v>
      </c>
      <c r="AY4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4" s="405">
        <f>VLOOKUP(Таблица7[[#This Row],[Основное оружие]], Оружие[#All], 3, 0)</f>
        <v>1</v>
      </c>
      <c r="BC44" s="405">
        <f>IF(ISBLANK(Таблица7[[#This Row],[Дополнительное оружие]]),"", VLOOKUP(Таблица7[[#This Row],[Дополнительное оружие]], Оружие[#All], 3, 0))</f>
        <v>3</v>
      </c>
      <c r="BD4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" s="405">
        <f>Таблица7[[#This Row],[Броня]]+Таблица7[[#This Row],[Щит]]+Таблица7[[#This Row],[навык защиты]]</f>
        <v>4</v>
      </c>
      <c r="BK44" s="1006"/>
      <c r="BL44" s="1006"/>
      <c r="BM44" s="375"/>
      <c r="BN44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4" s="375">
        <v>2</v>
      </c>
      <c r="BP44" s="375">
        <v>1</v>
      </c>
      <c r="BQ44" s="375">
        <v>-1</v>
      </c>
      <c r="BR44" s="375">
        <v>2</v>
      </c>
      <c r="BS44" s="375">
        <v>1</v>
      </c>
      <c r="BT44" s="375">
        <v>6</v>
      </c>
      <c r="BU44" s="971" t="s">
        <v>1576</v>
      </c>
      <c r="BV44" s="971" t="s">
        <v>1843</v>
      </c>
      <c r="BW44" s="375"/>
      <c r="BX44" s="375"/>
      <c r="BY44" s="375"/>
      <c r="BZ44" s="44"/>
    </row>
    <row r="45" spans="1:78" s="40" customFormat="1" ht="40.5" customHeight="1" x14ac:dyDescent="0.25">
      <c r="A45" s="333">
        <v>44</v>
      </c>
      <c r="B45" s="821" t="s">
        <v>2051</v>
      </c>
      <c r="C45" s="821" t="s">
        <v>2055</v>
      </c>
      <c r="D45" s="41" t="s">
        <v>1556</v>
      </c>
      <c r="E45" s="41" t="s">
        <v>1570</v>
      </c>
      <c r="F45" s="41"/>
      <c r="G45" s="41"/>
      <c r="H45" s="41"/>
      <c r="I45" s="644">
        <v>0.75</v>
      </c>
      <c r="J45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5" s="585">
        <f>Таблица7[[#This Row],[Размер отряда минимум]]*1.25</f>
        <v>93.75</v>
      </c>
      <c r="L45" s="585">
        <f>Таблица7[[#This Row],[Размер отряда норма]]*1.5</f>
        <v>140.625</v>
      </c>
      <c r="M45" s="586">
        <f>Таблица7[[#This Row],[Размер отряда минимум]]*2.5</f>
        <v>187.5</v>
      </c>
      <c r="N45" s="586"/>
      <c r="O45" s="586"/>
      <c r="P45" s="586"/>
      <c r="Q45" s="586"/>
      <c r="R45" s="41" t="s">
        <v>3</v>
      </c>
      <c r="S45" s="765" t="s">
        <v>1900</v>
      </c>
      <c r="T45" s="41" t="s">
        <v>976</v>
      </c>
      <c r="U45" s="823" t="s">
        <v>2183</v>
      </c>
      <c r="V45" s="822" t="s">
        <v>2054</v>
      </c>
      <c r="W45" s="41" t="s">
        <v>1001</v>
      </c>
      <c r="X45" s="41" t="s">
        <v>1469</v>
      </c>
      <c r="Y45" s="821" t="s">
        <v>2056</v>
      </c>
      <c r="Z45" s="41" t="s">
        <v>1440</v>
      </c>
      <c r="AA45" s="818" t="s">
        <v>2020</v>
      </c>
      <c r="AB45" s="41"/>
      <c r="AC45" s="41"/>
      <c r="AD45" s="158" t="s">
        <v>985</v>
      </c>
      <c r="AE45" s="158"/>
      <c r="AF45" s="41" t="s">
        <v>991</v>
      </c>
      <c r="AG45" s="821" t="s">
        <v>1951</v>
      </c>
      <c r="AH45" s="41" t="s">
        <v>985</v>
      </c>
      <c r="AI45" s="41"/>
      <c r="AJ45" s="158" t="s">
        <v>985</v>
      </c>
      <c r="AK45" s="158"/>
      <c r="AL45" s="199" t="s">
        <v>985</v>
      </c>
      <c r="AM45" s="41" t="s">
        <v>978</v>
      </c>
      <c r="AN45" s="41" t="s">
        <v>1006</v>
      </c>
      <c r="AO45" s="821" t="s">
        <v>2057</v>
      </c>
      <c r="AP45" s="41" t="s">
        <v>986</v>
      </c>
      <c r="AQ45" s="765" t="s">
        <v>1907</v>
      </c>
      <c r="AS45" s="40">
        <v>1550</v>
      </c>
      <c r="AT45" s="43"/>
      <c r="AU45" s="405">
        <v>3</v>
      </c>
      <c r="AV45" s="405" t="s">
        <v>1828</v>
      </c>
      <c r="AW45" s="405">
        <f>VLOOKUP(Таблица7[[#This Row],[Основное оружие]], Оружие[#All], 2, 0)</f>
        <v>0</v>
      </c>
      <c r="AX45" s="405">
        <f>IF(ISBLANK(Таблица7[[#This Row],[Дополнительное оружие]]),"", VLOOKUP(Таблица7[[#This Row],[Дополнительное оружие]], Оружие[#All], 2, 0))</f>
        <v>4</v>
      </c>
      <c r="AY4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5" s="405">
        <f>VLOOKUP(Таблица7[[#This Row],[Основное оружие]], Оружие[#All], 3, 0)</f>
        <v>1</v>
      </c>
      <c r="BC45" s="405">
        <f>IF(ISBLANK(Таблица7[[#This Row],[Дополнительное оружие]]),"", VLOOKUP(Таблица7[[#This Row],[Дополнительное оружие]], Оружие[#All], 3, 0))</f>
        <v>3</v>
      </c>
      <c r="BD4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" s="405">
        <f>Таблица7[[#This Row],[Броня]]+Таблица7[[#This Row],[Щит]]+Таблица7[[#This Row],[навык защиты]]</f>
        <v>5</v>
      </c>
      <c r="BK45" s="1006"/>
      <c r="BL45" s="1006"/>
      <c r="BM45" s="375"/>
      <c r="BN45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5" s="375">
        <v>2</v>
      </c>
      <c r="BP45" s="375">
        <v>1</v>
      </c>
      <c r="BQ45" s="375">
        <v>-1</v>
      </c>
      <c r="BR45" s="375">
        <v>2</v>
      </c>
      <c r="BS45" s="375">
        <v>1</v>
      </c>
      <c r="BT45" s="375">
        <v>6</v>
      </c>
      <c r="BU45" s="971" t="s">
        <v>1576</v>
      </c>
      <c r="BV45" s="971" t="s">
        <v>1843</v>
      </c>
      <c r="BW45" s="375"/>
      <c r="BX45" s="375"/>
      <c r="BY45" s="375"/>
      <c r="BZ45" s="44"/>
    </row>
    <row r="46" spans="1:78" s="40" customFormat="1" ht="40.5" customHeight="1" x14ac:dyDescent="0.25">
      <c r="A46" s="333">
        <v>45</v>
      </c>
      <c r="B46" s="821" t="s">
        <v>2052</v>
      </c>
      <c r="C46" s="821" t="s">
        <v>2058</v>
      </c>
      <c r="D46" s="41" t="s">
        <v>1555</v>
      </c>
      <c r="E46" s="41" t="s">
        <v>1570</v>
      </c>
      <c r="F46" s="41"/>
      <c r="G46" s="41"/>
      <c r="H46" s="41"/>
      <c r="I46" s="644">
        <v>0.8</v>
      </c>
      <c r="J46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</v>
      </c>
      <c r="K46" s="585">
        <f>Таблица7[[#This Row],[Размер отряда минимум]]*1.25</f>
        <v>40</v>
      </c>
      <c r="L46" s="585">
        <f>Таблица7[[#This Row],[Размер отряда норма]]*1.5</f>
        <v>60</v>
      </c>
      <c r="M46" s="586">
        <f>Таблица7[[#This Row],[Размер отряда минимум]]*2.5</f>
        <v>80</v>
      </c>
      <c r="N46" s="586"/>
      <c r="O46" s="586"/>
      <c r="P46" s="586"/>
      <c r="Q46" s="586"/>
      <c r="R46" s="41" t="s">
        <v>3</v>
      </c>
      <c r="S46" s="765" t="s">
        <v>1900</v>
      </c>
      <c r="T46" s="41" t="s">
        <v>976</v>
      </c>
      <c r="U46" s="823" t="s">
        <v>2184</v>
      </c>
      <c r="V46" s="822" t="s">
        <v>2059</v>
      </c>
      <c r="W46" s="41" t="s">
        <v>984</v>
      </c>
      <c r="X46" s="41" t="s">
        <v>1469</v>
      </c>
      <c r="Y46" s="41" t="s">
        <v>2056</v>
      </c>
      <c r="Z46" s="41" t="s">
        <v>1440</v>
      </c>
      <c r="AA46" s="818" t="s">
        <v>2020</v>
      </c>
      <c r="AB46" s="41"/>
      <c r="AC46" s="41"/>
      <c r="AD46" s="158" t="s">
        <v>985</v>
      </c>
      <c r="AE46" s="158"/>
      <c r="AF46" s="41" t="s">
        <v>991</v>
      </c>
      <c r="AG46" s="821" t="s">
        <v>1951</v>
      </c>
      <c r="AH46" s="41" t="s">
        <v>985</v>
      </c>
      <c r="AI46" s="41"/>
      <c r="AJ46" s="158" t="s">
        <v>985</v>
      </c>
      <c r="AK46" s="158"/>
      <c r="AL46" s="199" t="s">
        <v>985</v>
      </c>
      <c r="AM46" s="41" t="s">
        <v>977</v>
      </c>
      <c r="AN46" s="39" t="s">
        <v>1023</v>
      </c>
      <c r="AO46" s="765" t="s">
        <v>1904</v>
      </c>
      <c r="AP46" s="41" t="s">
        <v>986</v>
      </c>
      <c r="AQ46" s="765" t="s">
        <v>1907</v>
      </c>
      <c r="AS46" s="40">
        <v>1552</v>
      </c>
      <c r="AT46" s="43"/>
      <c r="AU46" s="405">
        <v>6</v>
      </c>
      <c r="AV46" s="405" t="s">
        <v>1827</v>
      </c>
      <c r="AW46" s="405">
        <f>VLOOKUP(Таблица7[[#This Row],[Основное оружие]], Оружие[#All], 2, 0)</f>
        <v>0</v>
      </c>
      <c r="AX46" s="405">
        <f>IF(ISBLANK(Таблица7[[#This Row],[Дополнительное оружие]]),"", VLOOKUP(Таблица7[[#This Row],[Дополнительное оружие]], Оружие[#All], 2, 0))</f>
        <v>4</v>
      </c>
      <c r="AY4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4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46" s="405">
        <f>VLOOKUP(Таблица7[[#This Row],[Основное оружие]], Оружие[#All], 3, 0)</f>
        <v>1</v>
      </c>
      <c r="BC46" s="405">
        <f>IF(ISBLANK(Таблица7[[#This Row],[Дополнительное оружие]]),"", VLOOKUP(Таблица7[[#This Row],[Дополнительное оружие]], Оружие[#All], 3, 0))</f>
        <v>3</v>
      </c>
      <c r="BD4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4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6" s="405">
        <f>Таблица7[[#This Row],[Броня]]+Таблица7[[#This Row],[Щит]]+Таблица7[[#This Row],[навык защиты]]</f>
        <v>6</v>
      </c>
      <c r="BK46" s="1008" t="s">
        <v>1589</v>
      </c>
      <c r="BL46" s="1008"/>
      <c r="BM46" s="375"/>
      <c r="BN46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6" s="375">
        <v>2</v>
      </c>
      <c r="BP46" s="375">
        <v>-2</v>
      </c>
      <c r="BQ46" s="375">
        <v>0</v>
      </c>
      <c r="BR46" s="375">
        <v>-4</v>
      </c>
      <c r="BS46" s="375">
        <v>-2</v>
      </c>
      <c r="BT46" s="375">
        <v>6</v>
      </c>
      <c r="BU46" s="971" t="s">
        <v>1576</v>
      </c>
      <c r="BV46" s="971" t="s">
        <v>1843</v>
      </c>
      <c r="BW46" s="375"/>
      <c r="BX46" s="375"/>
      <c r="BY46" s="375"/>
      <c r="BZ46" s="44"/>
    </row>
    <row r="47" spans="1:78" s="40" customFormat="1" ht="40.5" customHeight="1" x14ac:dyDescent="0.25">
      <c r="A47" s="333">
        <v>46</v>
      </c>
      <c r="B47" s="288" t="s">
        <v>1247</v>
      </c>
      <c r="C47" s="821" t="s">
        <v>2060</v>
      </c>
      <c r="D47" s="41" t="s">
        <v>1556</v>
      </c>
      <c r="E47" s="41" t="s">
        <v>1570</v>
      </c>
      <c r="F47" s="41"/>
      <c r="G47" s="41"/>
      <c r="H47" s="41"/>
      <c r="I47" s="644">
        <v>0.5</v>
      </c>
      <c r="J47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47" s="585">
        <f>Таблица7[[#This Row],[Размер отряда минимум]]*1.25</f>
        <v>62.5</v>
      </c>
      <c r="L47" s="585">
        <f>Таблица7[[#This Row],[Размер отряда норма]]*1.5</f>
        <v>93.75</v>
      </c>
      <c r="M47" s="586">
        <f>Таблица7[[#This Row],[Размер отряда минимум]]*2.5</f>
        <v>125</v>
      </c>
      <c r="N47" s="586"/>
      <c r="O47" s="586"/>
      <c r="P47" s="586"/>
      <c r="Q47" s="586"/>
      <c r="R47" s="41" t="s">
        <v>3</v>
      </c>
      <c r="S47" s="765" t="s">
        <v>1900</v>
      </c>
      <c r="T47" s="41" t="s">
        <v>976</v>
      </c>
      <c r="U47" s="823" t="s">
        <v>2185</v>
      </c>
      <c r="V47" s="822" t="s">
        <v>2061</v>
      </c>
      <c r="W47" s="41" t="s">
        <v>1001</v>
      </c>
      <c r="X47" s="41" t="s">
        <v>1696</v>
      </c>
      <c r="Y47" s="821" t="s">
        <v>1944</v>
      </c>
      <c r="Z47" s="41" t="s">
        <v>1440</v>
      </c>
      <c r="AA47" s="818" t="s">
        <v>2020</v>
      </c>
      <c r="AB47" s="41"/>
      <c r="AC47" s="41"/>
      <c r="AD47" s="158" t="s">
        <v>985</v>
      </c>
      <c r="AE47" s="158"/>
      <c r="AF47" s="41" t="s">
        <v>991</v>
      </c>
      <c r="AG47" s="821" t="s">
        <v>1951</v>
      </c>
      <c r="AH47" s="41" t="s">
        <v>985</v>
      </c>
      <c r="AI47" s="41"/>
      <c r="AJ47" s="158" t="s">
        <v>985</v>
      </c>
      <c r="AK47" s="158"/>
      <c r="AL47" s="199" t="s">
        <v>985</v>
      </c>
      <c r="AM47" s="39" t="s">
        <v>977</v>
      </c>
      <c r="AN47" s="39" t="s">
        <v>1031</v>
      </c>
      <c r="AO47" s="821" t="s">
        <v>2062</v>
      </c>
      <c r="AP47" s="41" t="s">
        <v>986</v>
      </c>
      <c r="AQ47" s="765" t="s">
        <v>1907</v>
      </c>
      <c r="AS47" s="40">
        <v>1576</v>
      </c>
      <c r="AT47" s="43"/>
      <c r="AU47" s="405">
        <v>3</v>
      </c>
      <c r="AV47" s="405" t="s">
        <v>1827</v>
      </c>
      <c r="AW47" s="405">
        <f>VLOOKUP(Таблица7[[#This Row],[Основное оружие]], Оружие[#All], 2, 0)</f>
        <v>0</v>
      </c>
      <c r="AX47" s="405">
        <f>IF(ISBLANK(Таблица7[[#This Row],[Дополнительное оружие]]),"", VLOOKUP(Таблица7[[#This Row],[Дополнительное оружие]], Оружие[#All], 2, 0))</f>
        <v>4</v>
      </c>
      <c r="AY4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7" s="405">
        <f>VLOOKUP(Таблица7[[#This Row],[Основное оружие]], Оружие[#All], 3, 0)</f>
        <v>1</v>
      </c>
      <c r="BC47" s="405">
        <f>IF(ISBLANK(Таблица7[[#This Row],[Дополнительное оружие]]),"", VLOOKUP(Таблица7[[#This Row],[Дополнительное оружие]], Оружие[#All], 3, 0))</f>
        <v>3</v>
      </c>
      <c r="BD4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7" s="405">
        <f>Таблица7[[#This Row],[Броня]]+Таблица7[[#This Row],[Щит]]+Таблица7[[#This Row],[навык защиты]]</f>
        <v>5</v>
      </c>
      <c r="BK47" s="1006"/>
      <c r="BL47" s="1006"/>
      <c r="BM47" s="375"/>
      <c r="BN47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" s="375">
        <v>2</v>
      </c>
      <c r="BP47" s="375">
        <v>1</v>
      </c>
      <c r="BQ47" s="375">
        <v>-1</v>
      </c>
      <c r="BR47" s="375">
        <v>2</v>
      </c>
      <c r="BS47" s="375">
        <v>1</v>
      </c>
      <c r="BT47" s="375">
        <v>6</v>
      </c>
      <c r="BU47" s="971" t="s">
        <v>1576</v>
      </c>
      <c r="BV47" s="971" t="s">
        <v>1843</v>
      </c>
      <c r="BW47" s="375"/>
      <c r="BX47" s="375"/>
      <c r="BY47" s="375"/>
      <c r="BZ47" s="44"/>
    </row>
    <row r="48" spans="1:78" s="40" customFormat="1" ht="40.5" customHeight="1" x14ac:dyDescent="0.25">
      <c r="A48" s="333">
        <v>47</v>
      </c>
      <c r="B48" s="288" t="s">
        <v>1248</v>
      </c>
      <c r="C48" s="821" t="s">
        <v>2065</v>
      </c>
      <c r="D48" s="41" t="s">
        <v>1555</v>
      </c>
      <c r="E48" s="438" t="s">
        <v>1547</v>
      </c>
      <c r="F48" s="438"/>
      <c r="G48" s="438"/>
      <c r="H48" s="438"/>
      <c r="I48" s="644">
        <v>0.6</v>
      </c>
      <c r="J48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48" s="585">
        <f>Таблица7[[#This Row],[Размер отряда минимум]]*1.25</f>
        <v>15</v>
      </c>
      <c r="L48" s="585">
        <f>Таблица7[[#This Row],[Размер отряда норма]]*1.5</f>
        <v>22.5</v>
      </c>
      <c r="M48" s="586">
        <f>Таблица7[[#This Row],[Размер отряда минимум]]*2.5</f>
        <v>30</v>
      </c>
      <c r="N48" s="586"/>
      <c r="O48" s="586"/>
      <c r="P48" s="586"/>
      <c r="Q48" s="586"/>
      <c r="R48" s="41" t="s">
        <v>3</v>
      </c>
      <c r="S48" s="765" t="s">
        <v>1900</v>
      </c>
      <c r="T48" s="41" t="s">
        <v>975</v>
      </c>
      <c r="U48" s="823" t="s">
        <v>2186</v>
      </c>
      <c r="V48" s="822" t="s">
        <v>2066</v>
      </c>
      <c r="W48" s="41" t="s">
        <v>1001</v>
      </c>
      <c r="X48" s="821" t="s">
        <v>2105</v>
      </c>
      <c r="Y48" s="821" t="s">
        <v>2024</v>
      </c>
      <c r="Z48" s="39" t="s">
        <v>1438</v>
      </c>
      <c r="AA48" s="821" t="s">
        <v>2037</v>
      </c>
      <c r="AB48" s="39"/>
      <c r="AC48" s="39"/>
      <c r="AD48" s="158" t="s">
        <v>1004</v>
      </c>
      <c r="AE48" s="158" t="s">
        <v>1952</v>
      </c>
      <c r="AF48" s="41" t="s">
        <v>985</v>
      </c>
      <c r="AG48" s="41"/>
      <c r="AH48" s="41" t="s">
        <v>985</v>
      </c>
      <c r="AI48" s="41"/>
      <c r="AJ48" s="158" t="s">
        <v>985</v>
      </c>
      <c r="AK48" s="158"/>
      <c r="AL48" s="199" t="s">
        <v>1163</v>
      </c>
      <c r="AM48" s="40" t="s">
        <v>935</v>
      </c>
      <c r="AN48" s="41" t="s">
        <v>952</v>
      </c>
      <c r="AO48" s="821" t="s">
        <v>1871</v>
      </c>
      <c r="AP48" s="41" t="s">
        <v>986</v>
      </c>
      <c r="AQ48" s="821" t="s">
        <v>1871</v>
      </c>
      <c r="AS48" s="40">
        <v>1500</v>
      </c>
      <c r="AT48" s="43">
        <v>1565</v>
      </c>
      <c r="AU48" s="405">
        <v>10</v>
      </c>
      <c r="AV48" s="405"/>
      <c r="AW48" s="405">
        <f>VLOOKUP(Таблица7[[#This Row],[Основное оружие]], Оружие[#All], 2, 0)</f>
        <v>2</v>
      </c>
      <c r="AX48" s="405">
        <f>IF(ISBLANK(Таблица7[[#This Row],[Дополнительное оружие]]),"", VLOOKUP(Таблица7[[#This Row],[Дополнительное оружие]], Оружие[#All], 2, 0))</f>
        <v>3</v>
      </c>
      <c r="AY4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4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48" s="405">
        <f>VLOOKUP(Таблица7[[#This Row],[Основное оружие]], Оружие[#All], 3, 0)</f>
        <v>10</v>
      </c>
      <c r="BC48" s="405">
        <f>IF(ISBLANK(Таблица7[[#This Row],[Дополнительное оружие]]),"", VLOOKUP(Таблица7[[#This Row],[Дополнительное оружие]], Оружие[#All], 3, 0))</f>
        <v>3</v>
      </c>
      <c r="BD4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4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4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8" s="405">
        <f>Таблица7[[#This Row],[Броня]]+Таблица7[[#This Row],[Щит]]+Таблица7[[#This Row],[навык защиты]]</f>
        <v>29</v>
      </c>
      <c r="BK48" s="1006"/>
      <c r="BL48" s="1006"/>
      <c r="BM48" s="375"/>
      <c r="BN48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8" s="375">
        <v>2</v>
      </c>
      <c r="BP48" s="375">
        <v>-2</v>
      </c>
      <c r="BQ48" s="375">
        <v>0</v>
      </c>
      <c r="BR48" s="375">
        <v>-4</v>
      </c>
      <c r="BS48" s="375">
        <v>-2</v>
      </c>
      <c r="BT48" s="375">
        <v>11</v>
      </c>
      <c r="BU48" s="971" t="s">
        <v>1840</v>
      </c>
      <c r="BV48" s="971" t="s">
        <v>1844</v>
      </c>
      <c r="BW48" s="375"/>
      <c r="BX48" s="375"/>
      <c r="BY48" s="375"/>
      <c r="BZ48" s="44"/>
    </row>
    <row r="49" spans="1:78" s="40" customFormat="1" ht="40.5" customHeight="1" x14ac:dyDescent="0.25">
      <c r="A49" s="333">
        <v>48</v>
      </c>
      <c r="B49" s="821" t="s">
        <v>2169</v>
      </c>
      <c r="C49" s="821" t="s">
        <v>2170</v>
      </c>
      <c r="D49" s="41" t="s">
        <v>1555</v>
      </c>
      <c r="E49" s="438" t="s">
        <v>1547</v>
      </c>
      <c r="F49" s="438"/>
      <c r="G49" s="438"/>
      <c r="H49" s="438"/>
      <c r="I49" s="644">
        <v>0.6</v>
      </c>
      <c r="J49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14.399999999999999</v>
      </c>
      <c r="K49" s="585">
        <f>Таблица7[[#This Row],[Размер отряда минимум]]*1.25</f>
        <v>18</v>
      </c>
      <c r="L49" s="585">
        <f>Таблица7[[#This Row],[Размер отряда норма]]*1.5</f>
        <v>27</v>
      </c>
      <c r="M49" s="586">
        <f>Таблица7[[#This Row],[Размер отряда минимум]]*2.5</f>
        <v>36</v>
      </c>
      <c r="N49" s="586"/>
      <c r="O49" s="586"/>
      <c r="P49" s="586"/>
      <c r="Q49" s="586"/>
      <c r="R49" s="41" t="s">
        <v>3</v>
      </c>
      <c r="S49" s="765" t="s">
        <v>1900</v>
      </c>
      <c r="T49" s="41" t="s">
        <v>976</v>
      </c>
      <c r="U49" s="823" t="s">
        <v>2188</v>
      </c>
      <c r="V49" s="822" t="s">
        <v>2187</v>
      </c>
      <c r="W49" s="41" t="s">
        <v>1001</v>
      </c>
      <c r="X49" s="41" t="s">
        <v>1950</v>
      </c>
      <c r="Y49" s="41" t="s">
        <v>1949</v>
      </c>
      <c r="Z49" s="39" t="s">
        <v>1440</v>
      </c>
      <c r="AA49" s="818" t="s">
        <v>2020</v>
      </c>
      <c r="AB49" s="39"/>
      <c r="AC49" s="39"/>
      <c r="AD49" s="158" t="s">
        <v>1005</v>
      </c>
      <c r="AE49" s="158" t="s">
        <v>2031</v>
      </c>
      <c r="AF49" s="41" t="s">
        <v>985</v>
      </c>
      <c r="AG49" s="41"/>
      <c r="AH49" s="41" t="s">
        <v>985</v>
      </c>
      <c r="AI49" s="41"/>
      <c r="AJ49" s="158" t="s">
        <v>985</v>
      </c>
      <c r="AK49" s="158"/>
      <c r="AL49" s="199" t="s">
        <v>1163</v>
      </c>
      <c r="AM49" s="40" t="s">
        <v>935</v>
      </c>
      <c r="AN49" s="41" t="s">
        <v>952</v>
      </c>
      <c r="AO49" s="821" t="s">
        <v>1871</v>
      </c>
      <c r="AP49" s="41" t="s">
        <v>986</v>
      </c>
      <c r="AQ49" s="821" t="s">
        <v>1871</v>
      </c>
      <c r="AS49" s="40">
        <v>1565</v>
      </c>
      <c r="AT49" s="43"/>
      <c r="AU49" s="405">
        <v>10</v>
      </c>
      <c r="AV49" s="405" t="s">
        <v>1828</v>
      </c>
      <c r="AW49" s="405">
        <f>VLOOKUP(Таблица7[[#This Row],[Основное оружие]], Оружие[#All], 2, 0)</f>
        <v>0</v>
      </c>
      <c r="AX49" s="405">
        <f>IF(ISBLANK(Таблица7[[#This Row],[Дополнительное оружие]]),"", VLOOKUP(Таблица7[[#This Row],[Дополнительное оружие]], Оружие[#All], 2, 0))</f>
        <v>4</v>
      </c>
      <c r="AY4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9" s="405">
        <f>VLOOKUP(Таблица7[[#This Row],[Основное оружие]], Оружие[#All], 3, 0)</f>
        <v>1</v>
      </c>
      <c r="BC49" s="405">
        <f>IF(ISBLANK(Таблица7[[#This Row],[Дополнительное оружие]]),"", VLOOKUP(Таблица7[[#This Row],[Дополнительное оружие]], Оружие[#All], 3, 0))</f>
        <v>3</v>
      </c>
      <c r="BD4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23</v>
      </c>
      <c r="BE4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4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9" s="405">
        <f>Таблица7[[#This Row],[Броня]]+Таблица7[[#This Row],[Щит]]+Таблица7[[#This Row],[навык защиты]]</f>
        <v>30</v>
      </c>
      <c r="BK49" s="1006"/>
      <c r="BL49" s="1006"/>
      <c r="BM49" s="375"/>
      <c r="BN49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9" s="375">
        <v>2</v>
      </c>
      <c r="BP49" s="375">
        <v>-2</v>
      </c>
      <c r="BQ49" s="375">
        <v>0</v>
      </c>
      <c r="BR49" s="375">
        <v>-4</v>
      </c>
      <c r="BS49" s="375">
        <v>-2</v>
      </c>
      <c r="BT49" s="375">
        <v>11</v>
      </c>
      <c r="BU49" s="971" t="s">
        <v>1840</v>
      </c>
      <c r="BV49" s="971" t="s">
        <v>1844</v>
      </c>
      <c r="BW49" s="375"/>
      <c r="BX49" s="375"/>
      <c r="BY49" s="375"/>
      <c r="BZ49" s="44"/>
    </row>
    <row r="50" spans="1:78" s="40" customFormat="1" ht="40.5" customHeight="1" x14ac:dyDescent="0.25">
      <c r="A50" s="333">
        <v>49</v>
      </c>
      <c r="B50" s="821" t="s">
        <v>2171</v>
      </c>
      <c r="C50" s="821" t="s">
        <v>2172</v>
      </c>
      <c r="D50" s="41" t="s">
        <v>1555</v>
      </c>
      <c r="E50" s="438" t="s">
        <v>1547</v>
      </c>
      <c r="F50" s="438"/>
      <c r="G50" s="438"/>
      <c r="H50" s="438"/>
      <c r="I50" s="644">
        <v>0.9</v>
      </c>
      <c r="J50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50" s="585">
        <f>Таблица7[[#This Row],[Размер отряда минимум]]*1.25</f>
        <v>22.5</v>
      </c>
      <c r="L50" s="585">
        <f>Таблица7[[#This Row],[Размер отряда норма]]*1.5</f>
        <v>33.75</v>
      </c>
      <c r="M50" s="586">
        <f>Таблица7[[#This Row],[Размер отряда минимум]]*2.5</f>
        <v>45</v>
      </c>
      <c r="N50" s="586"/>
      <c r="O50" s="586"/>
      <c r="P50" s="586"/>
      <c r="Q50" s="586"/>
      <c r="R50" s="41" t="s">
        <v>3</v>
      </c>
      <c r="S50" s="765" t="s">
        <v>1900</v>
      </c>
      <c r="T50" s="41" t="s">
        <v>975</v>
      </c>
      <c r="U50" s="823" t="s">
        <v>2190</v>
      </c>
      <c r="V50" s="822" t="s">
        <v>2189</v>
      </c>
      <c r="W50" s="41" t="s">
        <v>1001</v>
      </c>
      <c r="X50" s="821" t="s">
        <v>2105</v>
      </c>
      <c r="Y50" s="821" t="s">
        <v>2024</v>
      </c>
      <c r="Z50" s="41" t="s">
        <v>1036</v>
      </c>
      <c r="AA50" s="818" t="s">
        <v>1929</v>
      </c>
      <c r="AB50" s="41"/>
      <c r="AC50" s="41"/>
      <c r="AD50" s="158" t="s">
        <v>1002</v>
      </c>
      <c r="AE50" s="823" t="s">
        <v>2025</v>
      </c>
      <c r="AF50" s="90" t="s">
        <v>985</v>
      </c>
      <c r="AG50" s="90"/>
      <c r="AH50" s="90" t="s">
        <v>985</v>
      </c>
      <c r="AI50" s="90"/>
      <c r="AJ50" s="41" t="s">
        <v>1004</v>
      </c>
      <c r="AK50" s="409" t="s">
        <v>1952</v>
      </c>
      <c r="AL50" s="199" t="s">
        <v>1163</v>
      </c>
      <c r="AM50" s="925" t="s">
        <v>935</v>
      </c>
      <c r="AN50" s="925" t="s">
        <v>2383</v>
      </c>
      <c r="AO50" s="769" t="s">
        <v>1983</v>
      </c>
      <c r="AP50" s="821" t="s">
        <v>2135</v>
      </c>
      <c r="AQ50" s="821" t="s">
        <v>2134</v>
      </c>
      <c r="AS50" s="40">
        <v>1500</v>
      </c>
      <c r="AT50" s="43">
        <v>1565</v>
      </c>
      <c r="AU50" s="405">
        <v>9</v>
      </c>
      <c r="AV50" s="405"/>
      <c r="AW50" s="405">
        <f>VLOOKUP(Таблица7[[#This Row],[Основное оружие]], Оружие[#All], 2, 0)</f>
        <v>2</v>
      </c>
      <c r="AX50" s="405">
        <f>IF(ISBLANK(Таблица7[[#This Row],[Дополнительное оружие]]),"", VLOOKUP(Таблица7[[#This Row],[Дополнительное оружие]], Оружие[#All], 2, 0))</f>
        <v>5</v>
      </c>
      <c r="AY5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5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5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50" s="405">
        <f>VLOOKUP(Таблица7[[#This Row],[Основное оружие]], Оружие[#All], 3, 0)</f>
        <v>10</v>
      </c>
      <c r="BC50" s="405">
        <f>IF(ISBLANK(Таблица7[[#This Row],[Дополнительное оружие]]),"", VLOOKUP(Таблица7[[#This Row],[Дополнительное оружие]], Оружие[#All], 3, 0))</f>
        <v>3</v>
      </c>
      <c r="BD5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5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5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5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5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0" s="405">
        <f>Таблица7[[#This Row],[Броня]]+Таблица7[[#This Row],[Щит]]+Таблица7[[#This Row],[навык защиты]]</f>
        <v>26</v>
      </c>
      <c r="BK50" s="1006"/>
      <c r="BL50" s="1006"/>
      <c r="BM50" s="375"/>
      <c r="BN50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0" s="375">
        <v>2</v>
      </c>
      <c r="BP50" s="375">
        <v>-2</v>
      </c>
      <c r="BQ50" s="375">
        <v>0</v>
      </c>
      <c r="BR50" s="375">
        <v>-4</v>
      </c>
      <c r="BS50" s="375">
        <v>-2</v>
      </c>
      <c r="BT50" s="688" t="s">
        <v>1832</v>
      </c>
      <c r="BU50" s="971" t="s">
        <v>1840</v>
      </c>
      <c r="BV50" s="971" t="s">
        <v>1844</v>
      </c>
      <c r="BW50" s="375"/>
      <c r="BX50" s="375"/>
      <c r="BY50" s="375"/>
      <c r="BZ50" s="44"/>
    </row>
    <row r="51" spans="1:78" s="40" customFormat="1" ht="40.5" customHeight="1" x14ac:dyDescent="0.25">
      <c r="A51" s="333">
        <v>50</v>
      </c>
      <c r="B51" s="821" t="s">
        <v>2067</v>
      </c>
      <c r="C51" s="821" t="s">
        <v>2068</v>
      </c>
      <c r="D51" s="41" t="s">
        <v>1555</v>
      </c>
      <c r="E51" s="438" t="s">
        <v>1547</v>
      </c>
      <c r="F51" s="438"/>
      <c r="G51" s="438"/>
      <c r="H51" s="438"/>
      <c r="I51" s="644">
        <v>0.9</v>
      </c>
      <c r="J51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21.6</v>
      </c>
      <c r="K51" s="585">
        <f>Таблица7[[#This Row],[Размер отряда минимум]]*1.25</f>
        <v>27</v>
      </c>
      <c r="L51" s="585">
        <f>Таблица7[[#This Row],[Размер отряда норма]]*1.5</f>
        <v>40.5</v>
      </c>
      <c r="M51" s="586">
        <f>Таблица7[[#This Row],[Размер отряда минимум]]*2.5</f>
        <v>54</v>
      </c>
      <c r="N51" s="586"/>
      <c r="O51" s="586"/>
      <c r="P51" s="586"/>
      <c r="Q51" s="586"/>
      <c r="R51" s="41" t="s">
        <v>3</v>
      </c>
      <c r="S51" s="765" t="s">
        <v>1900</v>
      </c>
      <c r="T51" s="41" t="s">
        <v>976</v>
      </c>
      <c r="U51" s="823" t="s">
        <v>2191</v>
      </c>
      <c r="V51" s="822" t="s">
        <v>2069</v>
      </c>
      <c r="W51" s="41" t="s">
        <v>1001</v>
      </c>
      <c r="X51" s="41" t="s">
        <v>1950</v>
      </c>
      <c r="Y51" s="41" t="s">
        <v>1949</v>
      </c>
      <c r="Z51" s="41" t="s">
        <v>1440</v>
      </c>
      <c r="AA51" s="818" t="s">
        <v>2020</v>
      </c>
      <c r="AB51" s="41"/>
      <c r="AC51" s="41"/>
      <c r="AD51" s="158" t="s">
        <v>1481</v>
      </c>
      <c r="AE51" s="41" t="s">
        <v>1978</v>
      </c>
      <c r="AF51" s="90" t="s">
        <v>985</v>
      </c>
      <c r="AG51" s="90"/>
      <c r="AH51" s="90" t="s">
        <v>985</v>
      </c>
      <c r="AI51" s="90"/>
      <c r="AJ51" s="158" t="s">
        <v>1005</v>
      </c>
      <c r="AK51" s="818" t="s">
        <v>2031</v>
      </c>
      <c r="AL51" s="199" t="s">
        <v>985</v>
      </c>
      <c r="AM51" s="925" t="s">
        <v>935</v>
      </c>
      <c r="AN51" s="925" t="s">
        <v>2383</v>
      </c>
      <c r="AO51" s="769" t="s">
        <v>1983</v>
      </c>
      <c r="AP51" s="821" t="s">
        <v>2135</v>
      </c>
      <c r="AQ51" s="821" t="s">
        <v>2134</v>
      </c>
      <c r="AS51" s="40">
        <v>1565</v>
      </c>
      <c r="AT51" s="43"/>
      <c r="AU51" s="405">
        <v>9</v>
      </c>
      <c r="AV51" s="405" t="s">
        <v>1828</v>
      </c>
      <c r="AW51" s="405">
        <f>VLOOKUP(Таблица7[[#This Row],[Основное оружие]], Оружие[#All], 2, 0)</f>
        <v>0</v>
      </c>
      <c r="AX51" s="405">
        <f>IF(ISBLANK(Таблица7[[#This Row],[Дополнительное оружие]]),"", VLOOKUP(Таблица7[[#This Row],[Дополнительное оружие]], Оружие[#All], 2, 0))</f>
        <v>4</v>
      </c>
      <c r="AY5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5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5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51" s="405">
        <f>VLOOKUP(Таблица7[[#This Row],[Основное оружие]], Оружие[#All], 3, 0)</f>
        <v>1</v>
      </c>
      <c r="BC51" s="405">
        <f>IF(ISBLANK(Таблица7[[#This Row],[Дополнительное оружие]]),"", VLOOKUP(Таблица7[[#This Row],[Дополнительное оружие]], Оружие[#All], 3, 0))</f>
        <v>3</v>
      </c>
      <c r="BD5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5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5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5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5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" s="405">
        <f>Таблица7[[#This Row],[Броня]]+Таблица7[[#This Row],[Щит]]+Таблица7[[#This Row],[навык защиты]]</f>
        <v>23</v>
      </c>
      <c r="BK51" s="1006"/>
      <c r="BL51" s="1006"/>
      <c r="BM51" s="375"/>
      <c r="BN51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1" s="375">
        <v>2</v>
      </c>
      <c r="BP51" s="375">
        <v>-2</v>
      </c>
      <c r="BQ51" s="375">
        <v>0</v>
      </c>
      <c r="BR51" s="375">
        <v>-4</v>
      </c>
      <c r="BS51" s="375">
        <v>-2</v>
      </c>
      <c r="BT51" s="688" t="s">
        <v>1832</v>
      </c>
      <c r="BU51" s="971" t="s">
        <v>1840</v>
      </c>
      <c r="BV51" s="971" t="s">
        <v>1844</v>
      </c>
      <c r="BW51" s="375"/>
      <c r="BX51" s="375"/>
      <c r="BY51" s="375"/>
      <c r="BZ51" s="44"/>
    </row>
    <row r="52" spans="1:78" s="40" customFormat="1" ht="40.5" customHeight="1" x14ac:dyDescent="0.25">
      <c r="A52" s="333">
        <v>51</v>
      </c>
      <c r="B52" s="821" t="s">
        <v>2053</v>
      </c>
      <c r="C52" s="821" t="s">
        <v>2070</v>
      </c>
      <c r="D52" s="41" t="s">
        <v>1556</v>
      </c>
      <c r="E52" s="41" t="s">
        <v>1570</v>
      </c>
      <c r="F52" s="41"/>
      <c r="G52" s="41"/>
      <c r="H52" s="41"/>
      <c r="I52" s="644">
        <v>0.5</v>
      </c>
      <c r="J52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52" s="585">
        <f>Таблица7[[#This Row],[Размер отряда минимум]]*1.25</f>
        <v>62.5</v>
      </c>
      <c r="L52" s="585">
        <f>Таблица7[[#This Row],[Размер отряда норма]]*1.5</f>
        <v>93.75</v>
      </c>
      <c r="M52" s="586">
        <f>Таблица7[[#This Row],[Размер отряда минимум]]*2.5</f>
        <v>125</v>
      </c>
      <c r="N52" s="586"/>
      <c r="O52" s="586"/>
      <c r="P52" s="586"/>
      <c r="Q52" s="586"/>
      <c r="R52" s="41" t="s">
        <v>3</v>
      </c>
      <c r="S52" s="765" t="s">
        <v>1900</v>
      </c>
      <c r="T52" s="41" t="s">
        <v>976</v>
      </c>
      <c r="U52" s="823" t="s">
        <v>2192</v>
      </c>
      <c r="V52" s="822" t="s">
        <v>2071</v>
      </c>
      <c r="W52" s="41" t="s">
        <v>1001</v>
      </c>
      <c r="X52" s="41" t="s">
        <v>1696</v>
      </c>
      <c r="Y52" s="821" t="s">
        <v>1944</v>
      </c>
      <c r="Z52" s="41" t="s">
        <v>1440</v>
      </c>
      <c r="AA52" s="818" t="s">
        <v>2020</v>
      </c>
      <c r="AB52" s="41"/>
      <c r="AC52" s="41"/>
      <c r="AD52" s="158" t="s">
        <v>991</v>
      </c>
      <c r="AE52" s="823" t="s">
        <v>1951</v>
      </c>
      <c r="AF52" s="821" t="s">
        <v>985</v>
      </c>
      <c r="AG52" s="41"/>
      <c r="AH52" s="41" t="s">
        <v>985</v>
      </c>
      <c r="AI52" s="41"/>
      <c r="AJ52" s="158" t="s">
        <v>985</v>
      </c>
      <c r="AK52" s="158"/>
      <c r="AL52" s="199" t="s">
        <v>985</v>
      </c>
      <c r="AM52" s="925" t="s">
        <v>935</v>
      </c>
      <c r="AN52" s="925" t="s">
        <v>2380</v>
      </c>
      <c r="AO52" s="821" t="s">
        <v>2063</v>
      </c>
      <c r="AP52" s="821" t="s">
        <v>2135</v>
      </c>
      <c r="AQ52" s="821" t="s">
        <v>2134</v>
      </c>
      <c r="AS52" s="40">
        <v>1570</v>
      </c>
      <c r="AT52" s="43"/>
      <c r="AU52" s="405">
        <v>7</v>
      </c>
      <c r="AV52" s="405" t="s">
        <v>1828</v>
      </c>
      <c r="AW52" s="405">
        <f>VLOOKUP(Таблица7[[#This Row],[Основное оружие]], Оружие[#All], 2, 0)</f>
        <v>0</v>
      </c>
      <c r="AX52" s="405">
        <f>IF(ISBLANK(Таблица7[[#This Row],[Дополнительное оружие]]),"", VLOOKUP(Таблица7[[#This Row],[Дополнительное оружие]], Оружие[#All], 2, 0))</f>
        <v>4</v>
      </c>
      <c r="AY5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5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5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52" s="405">
        <f>VLOOKUP(Таблица7[[#This Row],[Основное оружие]], Оружие[#All], 3, 0)</f>
        <v>1</v>
      </c>
      <c r="BC52" s="405">
        <f>IF(ISBLANK(Таблица7[[#This Row],[Дополнительное оружие]]),"", VLOOKUP(Таблица7[[#This Row],[Дополнительное оружие]], Оружие[#All], 3, 0))</f>
        <v>3</v>
      </c>
      <c r="BD5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</v>
      </c>
      <c r="BE5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5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5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" s="405">
        <f>Таблица7[[#This Row],[Броня]]+Таблица7[[#This Row],[Щит]]+Таблица7[[#This Row],[навык защиты]]</f>
        <v>10</v>
      </c>
      <c r="BK52" s="1006"/>
      <c r="BL52" s="1006"/>
      <c r="BM52" s="375"/>
      <c r="BN52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52" s="375">
        <v>2</v>
      </c>
      <c r="BP52" s="375">
        <v>1</v>
      </c>
      <c r="BQ52" s="375">
        <v>-1</v>
      </c>
      <c r="BR52" s="375">
        <v>2</v>
      </c>
      <c r="BS52" s="375">
        <v>1</v>
      </c>
      <c r="BT52" s="375">
        <v>9</v>
      </c>
      <c r="BU52" s="971" t="s">
        <v>1840</v>
      </c>
      <c r="BV52" s="971" t="s">
        <v>1844</v>
      </c>
      <c r="BW52" s="375"/>
      <c r="BX52" s="375"/>
      <c r="BY52" s="375"/>
      <c r="BZ52" s="44"/>
    </row>
    <row r="53" spans="1:78" s="47" customFormat="1" ht="40.5" customHeight="1" x14ac:dyDescent="0.25">
      <c r="A53" s="333">
        <v>52</v>
      </c>
      <c r="B53" s="281" t="s">
        <v>1249</v>
      </c>
      <c r="C53" s="826" t="s">
        <v>2079</v>
      </c>
      <c r="D53" s="48" t="s">
        <v>1556</v>
      </c>
      <c r="E53" s="48" t="s">
        <v>1546</v>
      </c>
      <c r="F53" s="48"/>
      <c r="G53" s="48"/>
      <c r="H53" s="48"/>
      <c r="I53" s="645">
        <v>1</v>
      </c>
      <c r="J53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3" s="587">
        <f>Таблица7[[#This Row],[Размер отряда минимум]]*1.25</f>
        <v>112.5</v>
      </c>
      <c r="L53" s="587">
        <f>Таблица7[[#This Row],[Размер отряда норма]]*1.5</f>
        <v>168.75</v>
      </c>
      <c r="M53" s="588">
        <f>Таблица7[[#This Row],[Размер отряда минимум]]*2.5</f>
        <v>225</v>
      </c>
      <c r="N53" s="588"/>
      <c r="O53" s="588"/>
      <c r="P53" s="588"/>
      <c r="Q53" s="588"/>
      <c r="R53" s="48" t="s">
        <v>48</v>
      </c>
      <c r="S53" s="826" t="s">
        <v>2080</v>
      </c>
      <c r="T53" s="48" t="s">
        <v>975</v>
      </c>
      <c r="U53" s="874" t="s">
        <v>2367</v>
      </c>
      <c r="V53" s="872" t="s">
        <v>2081</v>
      </c>
      <c r="W53" s="48" t="s">
        <v>984</v>
      </c>
      <c r="X53" s="48" t="s">
        <v>1021</v>
      </c>
      <c r="Y53" s="826" t="s">
        <v>2082</v>
      </c>
      <c r="Z53" s="48"/>
      <c r="AA53" s="48"/>
      <c r="AB53" s="48"/>
      <c r="AC53" s="48"/>
      <c r="AD53" s="171" t="s">
        <v>985</v>
      </c>
      <c r="AE53" s="171"/>
      <c r="AF53" s="48" t="s">
        <v>985</v>
      </c>
      <c r="AG53" s="48"/>
      <c r="AH53" s="48" t="s">
        <v>985</v>
      </c>
      <c r="AI53" s="48"/>
      <c r="AJ53" s="171" t="s">
        <v>985</v>
      </c>
      <c r="AK53" s="171"/>
      <c r="AL53" s="195" t="s">
        <v>985</v>
      </c>
      <c r="AM53" s="48" t="s">
        <v>935</v>
      </c>
      <c r="AN53" s="868" t="s">
        <v>1906</v>
      </c>
      <c r="AO53" s="826" t="s">
        <v>1905</v>
      </c>
      <c r="AP53" s="48" t="s">
        <v>952</v>
      </c>
      <c r="AQ53" s="826" t="s">
        <v>1871</v>
      </c>
      <c r="AS53" s="47">
        <v>1500</v>
      </c>
      <c r="AT53" s="49">
        <v>1550</v>
      </c>
      <c r="AU53" s="405">
        <v>1</v>
      </c>
      <c r="AV53" s="405"/>
      <c r="AW53" s="405">
        <f>VLOOKUP(Таблица7[[#This Row],[Основное оружие]], Оружие[#All], 2, 0)</f>
        <v>1</v>
      </c>
      <c r="AX53" s="405" t="str">
        <f>IF(ISBLANK(Таблица7[[#This Row],[Дополнительное оружие]]),"", VLOOKUP(Таблица7[[#This Row],[Дополнительное оружие]], Оружие[#All], 2, 0))</f>
        <v/>
      </c>
      <c r="AY5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5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5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3" s="405">
        <f>VLOOKUP(Таблица7[[#This Row],[Основное оружие]], Оружие[#All], 3, 0)</f>
        <v>1</v>
      </c>
      <c r="BC53" s="405" t="str">
        <f>IF(ISBLANK(Таблица7[[#This Row],[Дополнительное оружие]]),"", VLOOKUP(Таблица7[[#This Row],[Дополнительное оружие]], Оружие[#All], 3, 0))</f>
        <v/>
      </c>
      <c r="BD5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5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5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3" s="405">
        <f>Таблица7[[#This Row],[Броня]]+Таблица7[[#This Row],[Щит]]+Таблица7[[#This Row],[навык защиты]]</f>
        <v>3</v>
      </c>
      <c r="BK53" s="1006"/>
      <c r="BL53" s="1006"/>
      <c r="BM53" s="376"/>
      <c r="BN53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3" s="376">
        <v>1</v>
      </c>
      <c r="BP53" s="376">
        <v>1</v>
      </c>
      <c r="BQ53" s="376">
        <v>0</v>
      </c>
      <c r="BR53" s="376">
        <v>2</v>
      </c>
      <c r="BS53" s="376">
        <v>0</v>
      </c>
      <c r="BT53" s="376">
        <v>2</v>
      </c>
      <c r="BU53" s="972" t="s">
        <v>1839</v>
      </c>
      <c r="BV53" s="972" t="s">
        <v>1842</v>
      </c>
      <c r="BW53" s="376"/>
      <c r="BX53" s="376"/>
      <c r="BY53" s="376"/>
      <c r="BZ53" s="50"/>
    </row>
    <row r="54" spans="1:78" s="47" customFormat="1" ht="40.5" customHeight="1" x14ac:dyDescent="0.25">
      <c r="A54" s="333">
        <v>53</v>
      </c>
      <c r="B54" s="281" t="s">
        <v>1249</v>
      </c>
      <c r="C54" s="826" t="s">
        <v>2079</v>
      </c>
      <c r="D54" s="48" t="s">
        <v>1556</v>
      </c>
      <c r="E54" s="48" t="s">
        <v>1570</v>
      </c>
      <c r="F54" s="48"/>
      <c r="G54" s="48"/>
      <c r="H54" s="48"/>
      <c r="I54" s="645">
        <v>1</v>
      </c>
      <c r="J54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54" s="587">
        <f>Таблица7[[#This Row],[Размер отряда минимум]]*1.25</f>
        <v>125</v>
      </c>
      <c r="L54" s="587">
        <f>Таблица7[[#This Row],[Размер отряда норма]]*1.5</f>
        <v>187.5</v>
      </c>
      <c r="M54" s="588">
        <f>Таблица7[[#This Row],[Размер отряда минимум]]*2.5</f>
        <v>250</v>
      </c>
      <c r="N54" s="588"/>
      <c r="O54" s="588"/>
      <c r="P54" s="588"/>
      <c r="Q54" s="588"/>
      <c r="R54" s="48" t="s">
        <v>48</v>
      </c>
      <c r="S54" s="826" t="s">
        <v>2080</v>
      </c>
      <c r="T54" s="48" t="s">
        <v>976</v>
      </c>
      <c r="U54" s="874" t="s">
        <v>2367</v>
      </c>
      <c r="V54" s="827" t="s">
        <v>2083</v>
      </c>
      <c r="W54" s="48" t="s">
        <v>984</v>
      </c>
      <c r="X54" s="230" t="s">
        <v>1693</v>
      </c>
      <c r="Y54" s="230" t="s">
        <v>1948</v>
      </c>
      <c r="Z54" s="230" t="s">
        <v>1021</v>
      </c>
      <c r="AA54" s="826" t="s">
        <v>2082</v>
      </c>
      <c r="AB54" s="230"/>
      <c r="AC54" s="230"/>
      <c r="AD54" s="171" t="s">
        <v>985</v>
      </c>
      <c r="AE54" s="171"/>
      <c r="AF54" s="48" t="s">
        <v>985</v>
      </c>
      <c r="AG54" s="48"/>
      <c r="AH54" s="48" t="s">
        <v>985</v>
      </c>
      <c r="AI54" s="48"/>
      <c r="AJ54" s="171" t="s">
        <v>985</v>
      </c>
      <c r="AK54" s="171"/>
      <c r="AL54" s="195" t="s">
        <v>985</v>
      </c>
      <c r="AM54" s="48" t="s">
        <v>978</v>
      </c>
      <c r="AN54" s="868" t="s">
        <v>1906</v>
      </c>
      <c r="AO54" s="826" t="s">
        <v>1905</v>
      </c>
      <c r="AP54" s="48" t="s">
        <v>952</v>
      </c>
      <c r="AQ54" s="826" t="s">
        <v>1871</v>
      </c>
      <c r="AS54" s="47">
        <v>1550</v>
      </c>
      <c r="AT54" s="49"/>
      <c r="AU54" s="405">
        <v>1</v>
      </c>
      <c r="AV54" s="405" t="s">
        <v>1826</v>
      </c>
      <c r="AW54" s="405">
        <f>VLOOKUP(Таблица7[[#This Row],[Основное оружие]], Оружие[#All], 2, 0)</f>
        <v>0</v>
      </c>
      <c r="AX54" s="405">
        <f>IF(ISBLANK(Таблица7[[#This Row],[Дополнительное оружие]]),"", VLOOKUP(Таблица7[[#This Row],[Дополнительное оружие]], Оружие[#All], 2, 0))</f>
        <v>1</v>
      </c>
      <c r="AY5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5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5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4</v>
      </c>
      <c r="BB54" s="405">
        <f>VLOOKUP(Таблица7[[#This Row],[Основное оружие]], Оружие[#All], 3, 0)</f>
        <v>1</v>
      </c>
      <c r="BC54" s="405">
        <f>IF(ISBLANK(Таблица7[[#This Row],[Дополнительное оружие]]),"", VLOOKUP(Таблица7[[#This Row],[Дополнительное оружие]], Оружие[#All], 3, 0))</f>
        <v>1</v>
      </c>
      <c r="BD5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5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5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4" s="405">
        <f>Таблица7[[#This Row],[Броня]]+Таблица7[[#This Row],[Щит]]+Таблица7[[#This Row],[навык защиты]]</f>
        <v>3</v>
      </c>
      <c r="BK54" s="1006"/>
      <c r="BL54" s="1006"/>
      <c r="BM54" s="376"/>
      <c r="BN54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4" s="376">
        <v>1</v>
      </c>
      <c r="BP54" s="376">
        <v>1</v>
      </c>
      <c r="BQ54" s="376">
        <v>0</v>
      </c>
      <c r="BR54" s="376">
        <v>2</v>
      </c>
      <c r="BS54" s="376">
        <v>0</v>
      </c>
      <c r="BT54" s="376">
        <v>2</v>
      </c>
      <c r="BU54" s="972" t="s">
        <v>1839</v>
      </c>
      <c r="BV54" s="972" t="s">
        <v>1842</v>
      </c>
      <c r="BW54" s="376"/>
      <c r="BX54" s="376"/>
      <c r="BY54" s="376"/>
      <c r="BZ54" s="50"/>
    </row>
    <row r="55" spans="1:78" s="47" customFormat="1" ht="40.5" customHeight="1" x14ac:dyDescent="0.25">
      <c r="A55" s="333">
        <v>54</v>
      </c>
      <c r="B55" s="281" t="s">
        <v>1250</v>
      </c>
      <c r="C55" s="835" t="s">
        <v>2246</v>
      </c>
      <c r="D55" s="48" t="s">
        <v>1556</v>
      </c>
      <c r="E55" s="48" t="s">
        <v>1560</v>
      </c>
      <c r="F55" s="48"/>
      <c r="G55" s="48"/>
      <c r="H55" s="48"/>
      <c r="I55" s="645">
        <v>0.75</v>
      </c>
      <c r="J55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55" s="587">
        <f>Таблица7[[#This Row],[Размер отряда минимум]]*1.25</f>
        <v>84.375</v>
      </c>
      <c r="L55" s="587">
        <f>Таблица7[[#This Row],[Размер отряда норма]]*1.5</f>
        <v>126.5625</v>
      </c>
      <c r="M55" s="588">
        <f>Таблица7[[#This Row],[Размер отряда минимум]]*2.5</f>
        <v>168.75</v>
      </c>
      <c r="N55" s="588"/>
      <c r="O55" s="588"/>
      <c r="P55" s="588"/>
      <c r="Q55" s="588"/>
      <c r="R55" s="767" t="s">
        <v>48</v>
      </c>
      <c r="S55" s="826" t="s">
        <v>2080</v>
      </c>
      <c r="T55" s="48" t="s">
        <v>975</v>
      </c>
      <c r="U55" s="828" t="s">
        <v>2193</v>
      </c>
      <c r="V55" s="827" t="s">
        <v>2084</v>
      </c>
      <c r="W55" s="48" t="s">
        <v>993</v>
      </c>
      <c r="X55" s="48" t="s">
        <v>994</v>
      </c>
      <c r="Y55" s="826" t="s">
        <v>1932</v>
      </c>
      <c r="Z55" s="48"/>
      <c r="AA55" s="48"/>
      <c r="AB55" s="48"/>
      <c r="AC55" s="48"/>
      <c r="AD55" s="171" t="s">
        <v>985</v>
      </c>
      <c r="AE55" s="171"/>
      <c r="AF55" s="48" t="s">
        <v>991</v>
      </c>
      <c r="AG55" s="826" t="s">
        <v>1951</v>
      </c>
      <c r="AH55" s="48" t="s">
        <v>985</v>
      </c>
      <c r="AI55" s="48"/>
      <c r="AJ55" s="171" t="s">
        <v>985</v>
      </c>
      <c r="AK55" s="171"/>
      <c r="AL55" s="195" t="s">
        <v>985</v>
      </c>
      <c r="AM55" s="48" t="s">
        <v>978</v>
      </c>
      <c r="AN55" s="868" t="s">
        <v>992</v>
      </c>
      <c r="AO55" s="48" t="s">
        <v>1904</v>
      </c>
      <c r="AP55" s="48" t="s">
        <v>1024</v>
      </c>
      <c r="AQ55" s="826" t="s">
        <v>2085</v>
      </c>
      <c r="AS55" s="47">
        <v>1500</v>
      </c>
      <c r="AT55" s="49">
        <v>1550</v>
      </c>
      <c r="AU55" s="444">
        <v>5</v>
      </c>
      <c r="AV55" s="405"/>
      <c r="AW55" s="405">
        <f>VLOOKUP(Таблица7[[#This Row],[Основное оружие]], Оружие[#All], 2, 0)</f>
        <v>1</v>
      </c>
      <c r="AX55" s="405" t="str">
        <f>IF(ISBLANK(Таблица7[[#This Row],[Дополнительное оружие]]),"", VLOOKUP(Таблица7[[#This Row],[Дополнительное оружие]], Оружие[#All], 2, 0))</f>
        <v/>
      </c>
      <c r="AY5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5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5" s="405">
        <f>VLOOKUP(Таблица7[[#This Row],[Основное оружие]], Оружие[#All], 3, 0)</f>
        <v>1</v>
      </c>
      <c r="BC55" s="405" t="str">
        <f>IF(ISBLANK(Таблица7[[#This Row],[Дополнительное оружие]]),"", VLOOKUP(Таблица7[[#This Row],[Дополнительное оружие]], Оружие[#All], 3, 0))</f>
        <v/>
      </c>
      <c r="BD5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5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5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5" s="405">
        <f>Таблица7[[#This Row],[Броня]]+Таблица7[[#This Row],[Щит]]+Таблица7[[#This Row],[навык защиты]]</f>
        <v>5</v>
      </c>
      <c r="BK55" s="1006"/>
      <c r="BL55" s="1006"/>
      <c r="BM55" s="376"/>
      <c r="BN55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55" s="376">
        <v>1</v>
      </c>
      <c r="BP55" s="376">
        <v>-1</v>
      </c>
      <c r="BQ55" s="376">
        <v>0</v>
      </c>
      <c r="BR55" s="376">
        <v>-2</v>
      </c>
      <c r="BS55" s="376">
        <v>0</v>
      </c>
      <c r="BT55" s="376">
        <v>10</v>
      </c>
      <c r="BU55" s="972" t="s">
        <v>1840</v>
      </c>
      <c r="BV55" s="972" t="s">
        <v>1843</v>
      </c>
      <c r="BW55" s="376"/>
      <c r="BX55" s="376"/>
      <c r="BY55" s="376"/>
      <c r="BZ55" s="50"/>
    </row>
    <row r="56" spans="1:78" s="47" customFormat="1" ht="40.5" customHeight="1" x14ac:dyDescent="0.25">
      <c r="A56" s="333">
        <v>55</v>
      </c>
      <c r="B56" s="281" t="s">
        <v>1251</v>
      </c>
      <c r="C56" s="835" t="s">
        <v>2247</v>
      </c>
      <c r="D56" s="48" t="s">
        <v>1556</v>
      </c>
      <c r="E56" s="48" t="s">
        <v>1560</v>
      </c>
      <c r="F56" s="48"/>
      <c r="G56" s="48"/>
      <c r="H56" s="48"/>
      <c r="I56" s="645">
        <v>0.75</v>
      </c>
      <c r="J56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56" s="587">
        <f>Таблица7[[#This Row],[Размер отряда минимум]]*1.25</f>
        <v>93.75</v>
      </c>
      <c r="L56" s="587">
        <f>Таблица7[[#This Row],[Размер отряда норма]]*1.5</f>
        <v>140.625</v>
      </c>
      <c r="M56" s="588">
        <f>Таблица7[[#This Row],[Размер отряда минимум]]*2.5</f>
        <v>187.5</v>
      </c>
      <c r="N56" s="588"/>
      <c r="O56" s="588"/>
      <c r="P56" s="588"/>
      <c r="Q56" s="588"/>
      <c r="R56" s="48" t="s">
        <v>48</v>
      </c>
      <c r="S56" s="826" t="s">
        <v>2080</v>
      </c>
      <c r="T56" s="48" t="s">
        <v>976</v>
      </c>
      <c r="U56" s="828" t="s">
        <v>2194</v>
      </c>
      <c r="V56" s="827" t="s">
        <v>2086</v>
      </c>
      <c r="W56" s="48" t="s">
        <v>993</v>
      </c>
      <c r="X56" s="48" t="s">
        <v>994</v>
      </c>
      <c r="Y56" s="826" t="s">
        <v>1932</v>
      </c>
      <c r="Z56" s="48"/>
      <c r="AA56" s="48"/>
      <c r="AB56" s="48"/>
      <c r="AC56" s="48"/>
      <c r="AD56" s="171" t="s">
        <v>985</v>
      </c>
      <c r="AE56" s="171"/>
      <c r="AF56" s="48" t="s">
        <v>991</v>
      </c>
      <c r="AG56" s="826" t="s">
        <v>1951</v>
      </c>
      <c r="AH56" s="48" t="s">
        <v>985</v>
      </c>
      <c r="AI56" s="48"/>
      <c r="AJ56" s="171" t="s">
        <v>985</v>
      </c>
      <c r="AK56" s="171"/>
      <c r="AL56" s="195" t="s">
        <v>985</v>
      </c>
      <c r="AM56" s="48" t="s">
        <v>978</v>
      </c>
      <c r="AN56" s="868" t="s">
        <v>992</v>
      </c>
      <c r="AO56" s="48" t="s">
        <v>1904</v>
      </c>
      <c r="AP56" s="48" t="s">
        <v>1024</v>
      </c>
      <c r="AQ56" s="826" t="s">
        <v>2085</v>
      </c>
      <c r="AS56" s="47">
        <v>1550</v>
      </c>
      <c r="AT56" s="49"/>
      <c r="AU56" s="444">
        <v>6</v>
      </c>
      <c r="AV56" s="405"/>
      <c r="AW56" s="405">
        <f>VLOOKUP(Таблица7[[#This Row],[Основное оружие]], Оружие[#All], 2, 0)</f>
        <v>1</v>
      </c>
      <c r="AX56" s="405" t="str">
        <f>IF(ISBLANK(Таблица7[[#This Row],[Дополнительное оружие]]),"", VLOOKUP(Таблица7[[#This Row],[Дополнительное оружие]], Оружие[#All], 2, 0))</f>
        <v/>
      </c>
      <c r="AY5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5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56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6" s="405">
        <f>VLOOKUP(Таблица7[[#This Row],[Основное оружие]], Оружие[#All], 3, 0)</f>
        <v>1</v>
      </c>
      <c r="BC56" s="405" t="str">
        <f>IF(ISBLANK(Таблица7[[#This Row],[Дополнительное оружие]]),"", VLOOKUP(Таблица7[[#This Row],[Дополнительное оружие]], Оружие[#All], 3, 0))</f>
        <v/>
      </c>
      <c r="BD5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5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6" s="405">
        <f>Таблица7[[#This Row],[Броня]]+Таблица7[[#This Row],[Щит]]+Таблица7[[#This Row],[навык защиты]]</f>
        <v>6</v>
      </c>
      <c r="BK56" s="1006"/>
      <c r="BL56" s="1006"/>
      <c r="BM56" s="376"/>
      <c r="BN56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56" s="376">
        <v>1</v>
      </c>
      <c r="BP56" s="376">
        <v>-1</v>
      </c>
      <c r="BQ56" s="376">
        <v>0</v>
      </c>
      <c r="BR56" s="376">
        <v>-2</v>
      </c>
      <c r="BS56" s="376">
        <v>0</v>
      </c>
      <c r="BT56" s="376">
        <v>12</v>
      </c>
      <c r="BU56" s="972" t="s">
        <v>1840</v>
      </c>
      <c r="BV56" s="972" t="s">
        <v>1843</v>
      </c>
      <c r="BW56" s="376"/>
      <c r="BX56" s="376"/>
      <c r="BY56" s="376"/>
      <c r="BZ56" s="50"/>
    </row>
    <row r="57" spans="1:78" s="47" customFormat="1" ht="40.5" customHeight="1" x14ac:dyDescent="0.25">
      <c r="A57" s="333">
        <v>56</v>
      </c>
      <c r="B57" s="826" t="s">
        <v>2119</v>
      </c>
      <c r="C57" s="826" t="s">
        <v>2087</v>
      </c>
      <c r="D57" s="48" t="s">
        <v>1556</v>
      </c>
      <c r="E57" s="443" t="s">
        <v>1448</v>
      </c>
      <c r="F57" s="443"/>
      <c r="G57" s="443"/>
      <c r="H57" s="443"/>
      <c r="I57" s="645">
        <v>0.75</v>
      </c>
      <c r="J57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57" s="587">
        <f>Таблица7[[#This Row],[Размер отряда минимум]]*1.25</f>
        <v>84.375</v>
      </c>
      <c r="L57" s="587">
        <f>Таблица7[[#This Row],[Размер отряда норма]]*1.5</f>
        <v>126.5625</v>
      </c>
      <c r="M57" s="588">
        <f>Таблица7[[#This Row],[Размер отряда минимум]]*2.5</f>
        <v>168.75</v>
      </c>
      <c r="N57" s="588"/>
      <c r="O57" s="588"/>
      <c r="P57" s="588"/>
      <c r="Q57" s="588"/>
      <c r="R57" s="48" t="s">
        <v>48</v>
      </c>
      <c r="S57" s="826" t="s">
        <v>2080</v>
      </c>
      <c r="T57" s="48" t="s">
        <v>975</v>
      </c>
      <c r="U57" s="828" t="s">
        <v>2195</v>
      </c>
      <c r="V57" s="827" t="s">
        <v>2088</v>
      </c>
      <c r="W57" s="48" t="s">
        <v>1001</v>
      </c>
      <c r="X57" s="351" t="s">
        <v>1036</v>
      </c>
      <c r="Y57" s="826" t="s">
        <v>1929</v>
      </c>
      <c r="Z57" s="351"/>
      <c r="AA57" s="351"/>
      <c r="AB57" s="351" t="s">
        <v>1504</v>
      </c>
      <c r="AC57" s="351" t="s">
        <v>1918</v>
      </c>
      <c r="AD57" s="788" t="s">
        <v>1158</v>
      </c>
      <c r="AE57" s="788" t="s">
        <v>1962</v>
      </c>
      <c r="AF57" s="51" t="s">
        <v>1211</v>
      </c>
      <c r="AG57" s="51" t="s">
        <v>1963</v>
      </c>
      <c r="AH57" s="48" t="s">
        <v>985</v>
      </c>
      <c r="AI57" s="48"/>
      <c r="AJ57" s="171" t="s">
        <v>985</v>
      </c>
      <c r="AK57" s="171"/>
      <c r="AL57" s="195" t="s">
        <v>985</v>
      </c>
      <c r="AM57" s="48" t="s">
        <v>978</v>
      </c>
      <c r="AN57" s="868" t="s">
        <v>992</v>
      </c>
      <c r="AO57" s="48" t="s">
        <v>1904</v>
      </c>
      <c r="AP57" s="48" t="s">
        <v>1024</v>
      </c>
      <c r="AQ57" s="826" t="s">
        <v>2085</v>
      </c>
      <c r="AS57" s="47">
        <v>1500</v>
      </c>
      <c r="AT57" s="49">
        <v>1550</v>
      </c>
      <c r="AU57" s="405">
        <v>5</v>
      </c>
      <c r="AV57" s="405"/>
      <c r="AW57" s="405">
        <f>VLOOKUP(Таблица7[[#This Row],[Основное оружие]], Оружие[#All], 2, 0)</f>
        <v>5</v>
      </c>
      <c r="AX57" s="405" t="str">
        <f>IF(ISBLANK(Таблица7[[#This Row],[Дополнительное оружие]]),"", VLOOKUP(Таблица7[[#This Row],[Дополнительное оружие]], Оружие[#All], 2, 0))</f>
        <v/>
      </c>
      <c r="AY5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5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7" s="405">
        <f>VLOOKUP(Таблица7[[#This Row],[Основное оружие]], Оружие[#All], 3, 0)</f>
        <v>3</v>
      </c>
      <c r="BC57" s="405" t="str">
        <f>IF(ISBLANK(Таблица7[[#This Row],[Дополнительное оружие]]),"", VLOOKUP(Таблица7[[#This Row],[Дополнительное оружие]], Оружие[#All], 3, 0))</f>
        <v/>
      </c>
      <c r="BD5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57" s="405">
        <f>Таблица7[[#This Row],[Броня]]+Таблица7[[#This Row],[Щит]]+Таблица7[[#This Row],[навык защиты]]</f>
        <v>23</v>
      </c>
      <c r="BK57" s="1006"/>
      <c r="BL57" s="1006"/>
      <c r="BM57" s="376"/>
      <c r="BN57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7" s="376">
        <v>1</v>
      </c>
      <c r="BP57" s="376">
        <v>1</v>
      </c>
      <c r="BQ57" s="376">
        <v>0</v>
      </c>
      <c r="BR57" s="376">
        <v>2</v>
      </c>
      <c r="BS57" s="376">
        <v>0</v>
      </c>
      <c r="BT57" s="376">
        <v>12</v>
      </c>
      <c r="BU57" s="972" t="s">
        <v>1840</v>
      </c>
      <c r="BV57" s="972" t="s">
        <v>1843</v>
      </c>
      <c r="BW57" s="376"/>
      <c r="BX57" s="376"/>
      <c r="BY57" s="376"/>
      <c r="BZ57" s="50"/>
    </row>
    <row r="58" spans="1:78" s="47" customFormat="1" ht="40.5" customHeight="1" x14ac:dyDescent="0.25">
      <c r="A58" s="333">
        <v>57</v>
      </c>
      <c r="B58" s="826" t="s">
        <v>2120</v>
      </c>
      <c r="C58" s="826" t="s">
        <v>2089</v>
      </c>
      <c r="D58" s="48" t="s">
        <v>1556</v>
      </c>
      <c r="E58" s="443" t="s">
        <v>1448</v>
      </c>
      <c r="F58" s="443"/>
      <c r="G58" s="443"/>
      <c r="H58" s="443"/>
      <c r="I58" s="645">
        <v>0.75</v>
      </c>
      <c r="J58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58" s="587">
        <f>Таблица7[[#This Row],[Размер отряда минимум]]*1.25</f>
        <v>93.75</v>
      </c>
      <c r="L58" s="587">
        <f>Таблица7[[#This Row],[Размер отряда норма]]*1.5</f>
        <v>140.625</v>
      </c>
      <c r="M58" s="588">
        <f>Таблица7[[#This Row],[Размер отряда минимум]]*2.5</f>
        <v>187.5</v>
      </c>
      <c r="N58" s="588"/>
      <c r="O58" s="588"/>
      <c r="P58" s="588"/>
      <c r="Q58" s="588"/>
      <c r="R58" s="48" t="s">
        <v>48</v>
      </c>
      <c r="S58" s="826" t="s">
        <v>2080</v>
      </c>
      <c r="T58" s="48" t="s">
        <v>976</v>
      </c>
      <c r="U58" s="828" t="s">
        <v>2196</v>
      </c>
      <c r="V58" s="827" t="s">
        <v>2090</v>
      </c>
      <c r="W58" s="48" t="s">
        <v>1001</v>
      </c>
      <c r="X58" s="351" t="s">
        <v>1440</v>
      </c>
      <c r="Y58" s="826" t="s">
        <v>2020</v>
      </c>
      <c r="Z58" s="351"/>
      <c r="AA58" s="351"/>
      <c r="AB58" s="351" t="s">
        <v>1504</v>
      </c>
      <c r="AC58" s="351" t="s">
        <v>1918</v>
      </c>
      <c r="AD58" s="788" t="s">
        <v>1158</v>
      </c>
      <c r="AE58" s="788" t="s">
        <v>1962</v>
      </c>
      <c r="AF58" s="51" t="s">
        <v>1211</v>
      </c>
      <c r="AG58" s="51" t="s">
        <v>1963</v>
      </c>
      <c r="AH58" s="48" t="s">
        <v>985</v>
      </c>
      <c r="AI58" s="48"/>
      <c r="AJ58" s="171" t="s">
        <v>985</v>
      </c>
      <c r="AK58" s="171"/>
      <c r="AL58" s="195" t="s">
        <v>985</v>
      </c>
      <c r="AM58" s="48" t="s">
        <v>978</v>
      </c>
      <c r="AN58" s="868" t="s">
        <v>992</v>
      </c>
      <c r="AO58" s="48" t="s">
        <v>1904</v>
      </c>
      <c r="AP58" s="48" t="s">
        <v>1024</v>
      </c>
      <c r="AQ58" s="826" t="s">
        <v>2085</v>
      </c>
      <c r="AS58" s="47">
        <v>1550</v>
      </c>
      <c r="AT58" s="49"/>
      <c r="AU58" s="405">
        <v>6</v>
      </c>
      <c r="AV58" s="405"/>
      <c r="AW58" s="405">
        <f>VLOOKUP(Таблица7[[#This Row],[Основное оружие]], Оружие[#All], 2, 0)</f>
        <v>4</v>
      </c>
      <c r="AX58" s="405" t="str">
        <f>IF(ISBLANK(Таблица7[[#This Row],[Дополнительное оружие]]),"", VLOOKUP(Таблица7[[#This Row],[Дополнительное оружие]], Оружие[#All], 2, 0))</f>
        <v/>
      </c>
      <c r="AY5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5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5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8" s="405">
        <f>VLOOKUP(Таблица7[[#This Row],[Основное оружие]], Оружие[#All], 3, 0)</f>
        <v>3</v>
      </c>
      <c r="BC58" s="405" t="str">
        <f>IF(ISBLANK(Таблица7[[#This Row],[Дополнительное оружие]]),"", VLOOKUP(Таблица7[[#This Row],[Дополнительное оружие]], Оружие[#All], 3, 0))</f>
        <v/>
      </c>
      <c r="BD5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5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58" s="405">
        <f>Таблица7[[#This Row],[Броня]]+Таблица7[[#This Row],[Щит]]+Таблица7[[#This Row],[навык защиты]]</f>
        <v>24</v>
      </c>
      <c r="BK58" s="1006"/>
      <c r="BL58" s="1006"/>
      <c r="BM58" s="376"/>
      <c r="BN58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8" s="376">
        <v>1</v>
      </c>
      <c r="BP58" s="376">
        <v>1</v>
      </c>
      <c r="BQ58" s="376">
        <v>0</v>
      </c>
      <c r="BR58" s="376">
        <v>2</v>
      </c>
      <c r="BS58" s="376">
        <v>0</v>
      </c>
      <c r="BT58" s="376">
        <v>12</v>
      </c>
      <c r="BU58" s="972" t="s">
        <v>1840</v>
      </c>
      <c r="BV58" s="972" t="s">
        <v>1843</v>
      </c>
      <c r="BW58" s="376"/>
      <c r="BX58" s="376"/>
      <c r="BY58" s="376"/>
      <c r="BZ58" s="50"/>
    </row>
    <row r="59" spans="1:78" s="47" customFormat="1" ht="40.5" customHeight="1" x14ac:dyDescent="0.25">
      <c r="A59" s="333">
        <v>58</v>
      </c>
      <c r="B59" s="826" t="s">
        <v>2091</v>
      </c>
      <c r="C59" s="826" t="s">
        <v>2092</v>
      </c>
      <c r="D59" s="48" t="s">
        <v>1556</v>
      </c>
      <c r="E59" s="443" t="s">
        <v>1448</v>
      </c>
      <c r="F59" s="443"/>
      <c r="G59" s="443"/>
      <c r="H59" s="443"/>
      <c r="I59" s="645">
        <v>0.3</v>
      </c>
      <c r="J59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59" s="587">
        <f>Таблица7[[#This Row],[Размер отряда минимум]]*1.25</f>
        <v>33.75</v>
      </c>
      <c r="L59" s="587">
        <f>Таблица7[[#This Row],[Размер отряда норма]]*1.5</f>
        <v>50.625</v>
      </c>
      <c r="M59" s="588">
        <f>Таблица7[[#This Row],[Размер отряда минимум]]*2.5</f>
        <v>67.5</v>
      </c>
      <c r="N59" s="588"/>
      <c r="O59" s="588"/>
      <c r="P59" s="588"/>
      <c r="Q59" s="588"/>
      <c r="R59" s="48" t="s">
        <v>48</v>
      </c>
      <c r="S59" s="826" t="s">
        <v>2080</v>
      </c>
      <c r="T59" s="48" t="s">
        <v>975</v>
      </c>
      <c r="U59" s="828" t="s">
        <v>2197</v>
      </c>
      <c r="V59" s="827" t="s">
        <v>2093</v>
      </c>
      <c r="W59" s="48" t="s">
        <v>1001</v>
      </c>
      <c r="X59" s="48" t="s">
        <v>1691</v>
      </c>
      <c r="Y59" s="48" t="s">
        <v>2094</v>
      </c>
      <c r="Z59" s="48" t="s">
        <v>1036</v>
      </c>
      <c r="AA59" s="826" t="s">
        <v>1929</v>
      </c>
      <c r="AB59" s="351" t="s">
        <v>1504</v>
      </c>
      <c r="AC59" s="351" t="s">
        <v>1918</v>
      </c>
      <c r="AD59" s="788" t="s">
        <v>1158</v>
      </c>
      <c r="AE59" s="788" t="s">
        <v>1962</v>
      </c>
      <c r="AF59" s="48" t="s">
        <v>1211</v>
      </c>
      <c r="AG59" s="51" t="s">
        <v>1963</v>
      </c>
      <c r="AH59" s="48" t="s">
        <v>985</v>
      </c>
      <c r="AI59" s="48"/>
      <c r="AJ59" s="171" t="s">
        <v>985</v>
      </c>
      <c r="AK59" s="171"/>
      <c r="AL59" s="195" t="s">
        <v>985</v>
      </c>
      <c r="AM59" s="48" t="s">
        <v>977</v>
      </c>
      <c r="AN59" s="868" t="s">
        <v>1908</v>
      </c>
      <c r="AO59" s="826" t="s">
        <v>1909</v>
      </c>
      <c r="AP59" s="48" t="s">
        <v>1024</v>
      </c>
      <c r="AQ59" s="826" t="s">
        <v>2085</v>
      </c>
      <c r="AS59" s="47">
        <v>1500</v>
      </c>
      <c r="AT59" s="49">
        <v>1550</v>
      </c>
      <c r="AU59" s="405">
        <v>5</v>
      </c>
      <c r="AV59" s="405" t="s">
        <v>1827</v>
      </c>
      <c r="AW59" s="405">
        <f>VLOOKUP(Таблица7[[#This Row],[Основное оружие]], Оружие[#All], 2, 0)</f>
        <v>0</v>
      </c>
      <c r="AX59" s="405">
        <f>IF(ISBLANK(Таблица7[[#This Row],[Дополнительное оружие]]),"", VLOOKUP(Таблица7[[#This Row],[Дополнительное оружие]], Оружие[#All], 2, 0))</f>
        <v>5</v>
      </c>
      <c r="AY5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5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59" s="405">
        <f>VLOOKUP(Таблица7[[#This Row],[Основное оружие]], Оружие[#All], 3, 0)</f>
        <v>1</v>
      </c>
      <c r="BC59" s="405">
        <f>IF(ISBLANK(Таблица7[[#This Row],[Дополнительное оружие]]),"", VLOOKUP(Таблица7[[#This Row],[Дополнительное оружие]], Оружие[#All], 3, 0))</f>
        <v>3</v>
      </c>
      <c r="BD5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59" s="405">
        <f>Таблица7[[#This Row],[Броня]]+Таблица7[[#This Row],[Щит]]+Таблица7[[#This Row],[навык защиты]]</f>
        <v>23</v>
      </c>
      <c r="BK59" s="1006"/>
      <c r="BL59" s="1006"/>
      <c r="BM59" s="376"/>
      <c r="BN59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9" s="376">
        <v>1</v>
      </c>
      <c r="BP59" s="376">
        <v>1</v>
      </c>
      <c r="BQ59" s="376">
        <v>0</v>
      </c>
      <c r="BR59" s="376">
        <v>2</v>
      </c>
      <c r="BS59" s="376">
        <v>0</v>
      </c>
      <c r="BT59" s="376">
        <v>12</v>
      </c>
      <c r="BU59" s="972" t="s">
        <v>1840</v>
      </c>
      <c r="BV59" s="972" t="s">
        <v>1843</v>
      </c>
      <c r="BW59" s="376"/>
      <c r="BX59" s="376"/>
      <c r="BY59" s="376"/>
      <c r="BZ59" s="50"/>
    </row>
    <row r="60" spans="1:78" s="47" customFormat="1" ht="40.5" customHeight="1" x14ac:dyDescent="0.25">
      <c r="A60" s="333">
        <v>59</v>
      </c>
      <c r="B60" s="281" t="s">
        <v>1252</v>
      </c>
      <c r="C60" s="826" t="s">
        <v>2096</v>
      </c>
      <c r="D60" s="48" t="s">
        <v>1556</v>
      </c>
      <c r="E60" s="443" t="s">
        <v>1448</v>
      </c>
      <c r="F60" s="443"/>
      <c r="G60" s="443"/>
      <c r="H60" s="443"/>
      <c r="I60" s="645">
        <v>0.3</v>
      </c>
      <c r="J60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60" s="587">
        <f>Таблица7[[#This Row],[Размер отряда минимум]]*1.25</f>
        <v>37.5</v>
      </c>
      <c r="L60" s="587">
        <f>Таблица7[[#This Row],[Размер отряда норма]]*1.5</f>
        <v>56.25</v>
      </c>
      <c r="M60" s="588">
        <f>Таблица7[[#This Row],[Размер отряда минимум]]*2.5</f>
        <v>75</v>
      </c>
      <c r="N60" s="588"/>
      <c r="O60" s="588"/>
      <c r="P60" s="588"/>
      <c r="Q60" s="588"/>
      <c r="R60" s="48" t="s">
        <v>48</v>
      </c>
      <c r="S60" s="826" t="s">
        <v>2080</v>
      </c>
      <c r="T60" s="48" t="s">
        <v>976</v>
      </c>
      <c r="U60" s="828" t="s">
        <v>2198</v>
      </c>
      <c r="V60" s="827" t="s">
        <v>2097</v>
      </c>
      <c r="W60" s="48" t="s">
        <v>1001</v>
      </c>
      <c r="X60" s="48" t="s">
        <v>1686</v>
      </c>
      <c r="Y60" s="48" t="s">
        <v>2094</v>
      </c>
      <c r="Z60" s="48" t="s">
        <v>1440</v>
      </c>
      <c r="AA60" s="826" t="s">
        <v>2020</v>
      </c>
      <c r="AB60" s="351" t="s">
        <v>1504</v>
      </c>
      <c r="AC60" s="351" t="s">
        <v>1918</v>
      </c>
      <c r="AD60" s="788" t="s">
        <v>1158</v>
      </c>
      <c r="AE60" s="788" t="s">
        <v>1962</v>
      </c>
      <c r="AF60" s="48" t="s">
        <v>1211</v>
      </c>
      <c r="AG60" s="51" t="s">
        <v>1963</v>
      </c>
      <c r="AH60" s="48" t="s">
        <v>985</v>
      </c>
      <c r="AI60" s="48"/>
      <c r="AJ60" s="171" t="s">
        <v>985</v>
      </c>
      <c r="AK60" s="171"/>
      <c r="AL60" s="195" t="s">
        <v>985</v>
      </c>
      <c r="AM60" s="48" t="s">
        <v>977</v>
      </c>
      <c r="AN60" s="868" t="s">
        <v>1908</v>
      </c>
      <c r="AO60" s="826" t="s">
        <v>1909</v>
      </c>
      <c r="AP60" s="48" t="s">
        <v>1024</v>
      </c>
      <c r="AQ60" s="826" t="s">
        <v>2085</v>
      </c>
      <c r="AS60" s="47">
        <v>1550</v>
      </c>
      <c r="AT60" s="49"/>
      <c r="AU60" s="405">
        <v>6</v>
      </c>
      <c r="AV60" s="405" t="s">
        <v>1827</v>
      </c>
      <c r="AW60" s="405">
        <f>VLOOKUP(Таблица7[[#This Row],[Основное оружие]], Оружие[#All], 2, 0)</f>
        <v>0</v>
      </c>
      <c r="AX60" s="405">
        <f>IF(ISBLANK(Таблица7[[#This Row],[Дополнительное оружие]]),"", VLOOKUP(Таблица7[[#This Row],[Дополнительное оружие]], Оружие[#All], 2, 0))</f>
        <v>4</v>
      </c>
      <c r="AY6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6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6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60" s="405">
        <f>VLOOKUP(Таблица7[[#This Row],[Основное оружие]], Оружие[#All], 3, 0)</f>
        <v>1</v>
      </c>
      <c r="BC60" s="405">
        <f>IF(ISBLANK(Таблица7[[#This Row],[Дополнительное оружие]]),"", VLOOKUP(Таблица7[[#This Row],[Дополнительное оружие]], Оружие[#All], 3, 0))</f>
        <v>3</v>
      </c>
      <c r="BD6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6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6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6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6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6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60" s="405">
        <f>Таблица7[[#This Row],[Броня]]+Таблица7[[#This Row],[Щит]]+Таблица7[[#This Row],[навык защиты]]</f>
        <v>24</v>
      </c>
      <c r="BK60" s="1006"/>
      <c r="BL60" s="1006"/>
      <c r="BM60" s="376"/>
      <c r="BN60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60" s="376">
        <v>1</v>
      </c>
      <c r="BP60" s="376">
        <v>1</v>
      </c>
      <c r="BQ60" s="376">
        <v>0</v>
      </c>
      <c r="BR60" s="376">
        <v>2</v>
      </c>
      <c r="BS60" s="376">
        <v>0</v>
      </c>
      <c r="BT60" s="376">
        <v>12</v>
      </c>
      <c r="BU60" s="972" t="s">
        <v>1840</v>
      </c>
      <c r="BV60" s="972" t="s">
        <v>1843</v>
      </c>
      <c r="BW60" s="376"/>
      <c r="BX60" s="376"/>
      <c r="BY60" s="376"/>
      <c r="BZ60" s="50"/>
    </row>
    <row r="61" spans="1:78" s="47" customFormat="1" ht="40.5" customHeight="1" x14ac:dyDescent="0.25">
      <c r="A61" s="333">
        <v>60</v>
      </c>
      <c r="B61" s="281" t="s">
        <v>1253</v>
      </c>
      <c r="C61" s="905" t="s">
        <v>2098</v>
      </c>
      <c r="D61" s="48" t="s">
        <v>1556</v>
      </c>
      <c r="E61" s="48" t="s">
        <v>1562</v>
      </c>
      <c r="F61" s="48"/>
      <c r="G61" s="48"/>
      <c r="H61" s="48"/>
      <c r="I61" s="645">
        <v>0.3</v>
      </c>
      <c r="J61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61" s="587">
        <f>Таблица7[[#This Row],[Размер отряда минимум]]*1.25</f>
        <v>30</v>
      </c>
      <c r="L61" s="587">
        <f>Таблица7[[#This Row],[Размер отряда норма]]*1.5</f>
        <v>45</v>
      </c>
      <c r="M61" s="588">
        <f>Таблица7[[#This Row],[Размер отряда минимум]]*2.5</f>
        <v>60</v>
      </c>
      <c r="N61" s="588"/>
      <c r="O61" s="588"/>
      <c r="P61" s="588"/>
      <c r="Q61" s="588"/>
      <c r="R61" s="48" t="s">
        <v>48</v>
      </c>
      <c r="S61" s="826" t="s">
        <v>2080</v>
      </c>
      <c r="T61" s="48" t="s">
        <v>975</v>
      </c>
      <c r="U61" s="828" t="s">
        <v>2199</v>
      </c>
      <c r="V61" s="827" t="s">
        <v>2099</v>
      </c>
      <c r="W61" s="171" t="s">
        <v>1001</v>
      </c>
      <c r="X61" s="48" t="s">
        <v>2105</v>
      </c>
      <c r="Y61" s="48" t="s">
        <v>2024</v>
      </c>
      <c r="Z61" s="48"/>
      <c r="AA61" s="48"/>
      <c r="AB61" s="48"/>
      <c r="AC61" s="48"/>
      <c r="AD61" s="171" t="s">
        <v>1002</v>
      </c>
      <c r="AE61" s="828" t="s">
        <v>2025</v>
      </c>
      <c r="AF61" s="51" t="s">
        <v>985</v>
      </c>
      <c r="AG61" s="51"/>
      <c r="AH61" s="51" t="s">
        <v>985</v>
      </c>
      <c r="AI61" s="51"/>
      <c r="AJ61" s="48" t="s">
        <v>1004</v>
      </c>
      <c r="AK61" s="826" t="s">
        <v>1952</v>
      </c>
      <c r="AL61" s="195" t="s">
        <v>985</v>
      </c>
      <c r="AM61" s="48" t="s">
        <v>977</v>
      </c>
      <c r="AN61" s="921" t="s">
        <v>1117</v>
      </c>
      <c r="AO61" s="921" t="s">
        <v>2313</v>
      </c>
      <c r="AP61" s="48" t="s">
        <v>1022</v>
      </c>
      <c r="AQ61" s="826" t="s">
        <v>2100</v>
      </c>
      <c r="AS61" s="47">
        <v>1500</v>
      </c>
      <c r="AT61" s="49">
        <v>1565</v>
      </c>
      <c r="AU61" s="405">
        <v>7</v>
      </c>
      <c r="AV61" s="405"/>
      <c r="AW61" s="405">
        <f>VLOOKUP(Таблица7[[#This Row],[Основное оружие]], Оружие[#All], 2, 0)</f>
        <v>2</v>
      </c>
      <c r="AX61" s="405" t="str">
        <f>IF(ISBLANK(Таблица7[[#This Row],[Дополнительное оружие]]),"", VLOOKUP(Таблица7[[#This Row],[Дополнительное оружие]], Оружие[#All], 2, 0))</f>
        <v/>
      </c>
      <c r="AY6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6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6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61" s="405">
        <f>VLOOKUP(Таблица7[[#This Row],[Основное оружие]], Оружие[#All], 3, 0)</f>
        <v>10</v>
      </c>
      <c r="BC61" s="405" t="str">
        <f>IF(ISBLANK(Таблица7[[#This Row],[Дополнительное оружие]]),"", VLOOKUP(Таблица7[[#This Row],[Дополнительное оружие]], Оружие[#All], 3, 0))</f>
        <v/>
      </c>
      <c r="BD6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6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6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6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6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7</v>
      </c>
      <c r="BI6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61" s="405">
        <f>Таблица7[[#This Row],[Броня]]+Таблица7[[#This Row],[Щит]]+Таблица7[[#This Row],[навык защиты]]</f>
        <v>27</v>
      </c>
      <c r="BK61" s="1006"/>
      <c r="BL61" s="1009" t="s">
        <v>1585</v>
      </c>
      <c r="BM61" s="376"/>
      <c r="BN61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61" s="376">
        <v>1</v>
      </c>
      <c r="BP61" s="376">
        <v>-1</v>
      </c>
      <c r="BQ61" s="376">
        <v>0</v>
      </c>
      <c r="BR61" s="376">
        <v>-2</v>
      </c>
      <c r="BS61" s="376">
        <v>0</v>
      </c>
      <c r="BT61" s="376">
        <v>9</v>
      </c>
      <c r="BU61" s="972" t="s">
        <v>1840</v>
      </c>
      <c r="BV61" s="972" t="s">
        <v>1844</v>
      </c>
      <c r="BW61" s="376"/>
      <c r="BX61" s="376"/>
      <c r="BY61" s="376"/>
      <c r="BZ61" s="50"/>
    </row>
    <row r="62" spans="1:78" s="47" customFormat="1" ht="40.5" customHeight="1" x14ac:dyDescent="0.25">
      <c r="A62" s="333">
        <v>61</v>
      </c>
      <c r="B62" s="281" t="s">
        <v>1254</v>
      </c>
      <c r="C62" s="835" t="s">
        <v>2248</v>
      </c>
      <c r="D62" s="48" t="s">
        <v>1556</v>
      </c>
      <c r="E62" s="48" t="s">
        <v>1547</v>
      </c>
      <c r="F62" s="48"/>
      <c r="G62" s="48"/>
      <c r="H62" s="48"/>
      <c r="I62" s="645">
        <v>0.75</v>
      </c>
      <c r="J62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60</v>
      </c>
      <c r="K62" s="587">
        <f>Таблица7[[#This Row],[Размер отряда минимум]]*1.25</f>
        <v>75</v>
      </c>
      <c r="L62" s="587">
        <f>Таблица7[[#This Row],[Размер отряда норма]]*1.5</f>
        <v>112.5</v>
      </c>
      <c r="M62" s="588">
        <f>Таблица7[[#This Row],[Размер отряда минимум]]*2.5</f>
        <v>150</v>
      </c>
      <c r="N62" s="588"/>
      <c r="O62" s="588"/>
      <c r="P62" s="588"/>
      <c r="Q62" s="588"/>
      <c r="R62" s="48" t="s">
        <v>48</v>
      </c>
      <c r="S62" s="826" t="s">
        <v>2080</v>
      </c>
      <c r="T62" s="48" t="s">
        <v>975</v>
      </c>
      <c r="U62" s="828" t="s">
        <v>2200</v>
      </c>
      <c r="V62" s="827" t="s">
        <v>2101</v>
      </c>
      <c r="W62" s="171" t="s">
        <v>993</v>
      </c>
      <c r="X62" s="48" t="s">
        <v>996</v>
      </c>
      <c r="Y62" s="826" t="s">
        <v>1973</v>
      </c>
      <c r="Z62" s="48"/>
      <c r="AA62" s="48"/>
      <c r="AB62" s="48"/>
      <c r="AC62" s="48"/>
      <c r="AD62" s="788" t="s">
        <v>1482</v>
      </c>
      <c r="AE62" s="788" t="s">
        <v>1975</v>
      </c>
      <c r="AF62" s="48" t="s">
        <v>1481</v>
      </c>
      <c r="AG62" s="48" t="s">
        <v>1978</v>
      </c>
      <c r="AH62" s="51" t="s">
        <v>985</v>
      </c>
      <c r="AI62" s="51"/>
      <c r="AJ62" s="171" t="s">
        <v>985</v>
      </c>
      <c r="AK62" s="171"/>
      <c r="AL62" s="195" t="s">
        <v>985</v>
      </c>
      <c r="AM62" s="48" t="s">
        <v>977</v>
      </c>
      <c r="AN62" s="868" t="s">
        <v>2380</v>
      </c>
      <c r="AO62" s="826" t="s">
        <v>2063</v>
      </c>
      <c r="AP62" s="48" t="s">
        <v>1024</v>
      </c>
      <c r="AQ62" s="826" t="s">
        <v>2085</v>
      </c>
      <c r="AS62" s="47">
        <v>1500</v>
      </c>
      <c r="AT62" s="49">
        <v>1550</v>
      </c>
      <c r="AU62" s="405">
        <v>5</v>
      </c>
      <c r="AV62" s="405"/>
      <c r="AW62" s="405">
        <f>VLOOKUP(Таблица7[[#This Row],[Основное оружие]], Оружие[#All], 2, 0)</f>
        <v>7</v>
      </c>
      <c r="AX62" s="405" t="str">
        <f>IF(ISBLANK(Таблица7[[#This Row],[Дополнительное оружие]]),"", VLOOKUP(Таблица7[[#This Row],[Дополнительное оружие]], Оружие[#All], 2, 0))</f>
        <v/>
      </c>
      <c r="AY6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6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6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62" s="405">
        <f>VLOOKUP(Таблица7[[#This Row],[Основное оружие]], Оружие[#All], 3, 0)</f>
        <v>3</v>
      </c>
      <c r="BC62" s="405" t="str">
        <f>IF(ISBLANK(Таблица7[[#This Row],[Дополнительное оружие]]),"", VLOOKUP(Таблица7[[#This Row],[Дополнительное оружие]], Оружие[#All], 3, 0))</f>
        <v/>
      </c>
      <c r="BD6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6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6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6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6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6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62" s="405">
        <f>Таблица7[[#This Row],[Броня]]+Таблица7[[#This Row],[Щит]]+Таблица7[[#This Row],[навык защиты]]</f>
        <v>22</v>
      </c>
      <c r="BK62" s="1006"/>
      <c r="BL62" s="1006"/>
      <c r="BM62" s="376"/>
      <c r="BN62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62" s="376">
        <v>1</v>
      </c>
      <c r="BP62" s="376">
        <v>0</v>
      </c>
      <c r="BQ62" s="376">
        <v>0</v>
      </c>
      <c r="BR62" s="376">
        <v>-1</v>
      </c>
      <c r="BS62" s="376">
        <v>0</v>
      </c>
      <c r="BT62" s="376">
        <v>10</v>
      </c>
      <c r="BU62" s="972" t="s">
        <v>1840</v>
      </c>
      <c r="BV62" s="972" t="s">
        <v>1843</v>
      </c>
      <c r="BW62" s="376"/>
      <c r="BX62" s="376"/>
      <c r="BY62" s="376"/>
      <c r="BZ62" s="50"/>
    </row>
    <row r="63" spans="1:78" s="47" customFormat="1" ht="40.5" customHeight="1" x14ac:dyDescent="0.25">
      <c r="A63" s="333">
        <v>62</v>
      </c>
      <c r="B63" s="826" t="s">
        <v>2121</v>
      </c>
      <c r="C63" s="835" t="s">
        <v>2249</v>
      </c>
      <c r="D63" s="48" t="s">
        <v>1556</v>
      </c>
      <c r="E63" s="443" t="s">
        <v>1561</v>
      </c>
      <c r="F63" s="443"/>
      <c r="G63" s="443"/>
      <c r="H63" s="443"/>
      <c r="I63" s="645">
        <v>0.75</v>
      </c>
      <c r="J63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63" s="587">
        <f>Таблица7[[#This Row],[Размер отряда минимум]]*1.25</f>
        <v>93.75</v>
      </c>
      <c r="L63" s="587">
        <f>Таблица7[[#This Row],[Размер отряда норма]]*1.5</f>
        <v>140.625</v>
      </c>
      <c r="M63" s="588">
        <f>Таблица7[[#This Row],[Размер отряда минимум]]*2.5</f>
        <v>187.5</v>
      </c>
      <c r="N63" s="588"/>
      <c r="O63" s="588"/>
      <c r="P63" s="588"/>
      <c r="Q63" s="588"/>
      <c r="R63" s="48" t="s">
        <v>48</v>
      </c>
      <c r="S63" s="826" t="s">
        <v>2080</v>
      </c>
      <c r="T63" s="48" t="s">
        <v>976</v>
      </c>
      <c r="U63" s="828" t="s">
        <v>2201</v>
      </c>
      <c r="V63" s="827" t="s">
        <v>2102</v>
      </c>
      <c r="W63" s="48" t="s">
        <v>993</v>
      </c>
      <c r="X63" s="48" t="s">
        <v>994</v>
      </c>
      <c r="Y63" s="826" t="s">
        <v>1932</v>
      </c>
      <c r="Z63" s="48"/>
      <c r="AA63" s="826"/>
      <c r="AB63" s="48"/>
      <c r="AC63" s="48"/>
      <c r="AD63" s="788" t="s">
        <v>1158</v>
      </c>
      <c r="AE63" s="788" t="s">
        <v>1962</v>
      </c>
      <c r="AF63" s="48" t="s">
        <v>1211</v>
      </c>
      <c r="AG63" s="51" t="s">
        <v>1963</v>
      </c>
      <c r="AH63" s="48" t="s">
        <v>985</v>
      </c>
      <c r="AI63" s="48"/>
      <c r="AJ63" s="171" t="s">
        <v>985</v>
      </c>
      <c r="AK63" s="171"/>
      <c r="AL63" s="195" t="s">
        <v>985</v>
      </c>
      <c r="AM63" s="48" t="s">
        <v>978</v>
      </c>
      <c r="AN63" s="868" t="s">
        <v>992</v>
      </c>
      <c r="AO63" s="48" t="s">
        <v>1904</v>
      </c>
      <c r="AP63" s="48" t="s">
        <v>1024</v>
      </c>
      <c r="AQ63" s="826" t="s">
        <v>2085</v>
      </c>
      <c r="AS63" s="47">
        <v>1550</v>
      </c>
      <c r="AT63" s="49"/>
      <c r="AU63" s="444">
        <v>6</v>
      </c>
      <c r="AV63" s="405"/>
      <c r="AW63" s="405">
        <f>VLOOKUP(Таблица7[[#This Row],[Основное оружие]], Оружие[#All], 2, 0)</f>
        <v>1</v>
      </c>
      <c r="AX63" s="405" t="str">
        <f>IF(ISBLANK(Таблица7[[#This Row],[Дополнительное оружие]]),"", VLOOKUP(Таблица7[[#This Row],[Дополнительное оружие]], Оружие[#All], 2, 0))</f>
        <v/>
      </c>
      <c r="AY6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6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63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63" s="405">
        <f>VLOOKUP(Таблица7[[#This Row],[Основное оружие]], Оружие[#All], 3, 0)</f>
        <v>1</v>
      </c>
      <c r="BC63" s="405" t="str">
        <f>IF(ISBLANK(Таблица7[[#This Row],[Дополнительное оружие]]),"", VLOOKUP(Таблица7[[#This Row],[Дополнительное оружие]], Оружие[#All], 3, 0))</f>
        <v/>
      </c>
      <c r="BD6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6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6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6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6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6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63" s="405">
        <f>Таблица7[[#This Row],[Броня]]+Таблица7[[#This Row],[Щит]]+Таблица7[[#This Row],[навык защиты]]</f>
        <v>17</v>
      </c>
      <c r="BK63" s="1006"/>
      <c r="BL63" s="1006"/>
      <c r="BM63" s="376"/>
      <c r="BN63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63" s="376">
        <v>1</v>
      </c>
      <c r="BP63" s="376">
        <v>-1</v>
      </c>
      <c r="BQ63" s="376">
        <v>0</v>
      </c>
      <c r="BR63" s="376">
        <v>-2</v>
      </c>
      <c r="BS63" s="376">
        <v>0</v>
      </c>
      <c r="BT63" s="376">
        <v>12</v>
      </c>
      <c r="BU63" s="972" t="s">
        <v>1840</v>
      </c>
      <c r="BV63" s="972" t="s">
        <v>1843</v>
      </c>
      <c r="BW63" s="376"/>
      <c r="BX63" s="376"/>
      <c r="BY63" s="376"/>
      <c r="BZ63" s="50"/>
    </row>
    <row r="64" spans="1:78" s="47" customFormat="1" ht="40.5" customHeight="1" x14ac:dyDescent="0.25">
      <c r="A64" s="333">
        <v>63</v>
      </c>
      <c r="B64" s="322" t="s">
        <v>1431</v>
      </c>
      <c r="C64" s="826" t="s">
        <v>2103</v>
      </c>
      <c r="D64" s="48" t="s">
        <v>1555</v>
      </c>
      <c r="E64" s="48" t="s">
        <v>1558</v>
      </c>
      <c r="F64" s="48"/>
      <c r="G64" s="48"/>
      <c r="H64" s="48"/>
      <c r="I64" s="645">
        <v>0.75</v>
      </c>
      <c r="J64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64" s="587">
        <f>Таблица7[[#This Row],[Размер отряда минимум]]*1.25</f>
        <v>33.75</v>
      </c>
      <c r="L64" s="587">
        <f>Таблица7[[#This Row],[Размер отряда норма]]*1.5</f>
        <v>50.625</v>
      </c>
      <c r="M64" s="588">
        <f>Таблица7[[#This Row],[Размер отряда минимум]]*2.5</f>
        <v>67.5</v>
      </c>
      <c r="N64" s="588"/>
      <c r="O64" s="588"/>
      <c r="P64" s="588"/>
      <c r="Q64" s="588"/>
      <c r="R64" s="48" t="s">
        <v>48</v>
      </c>
      <c r="S64" s="826" t="s">
        <v>2080</v>
      </c>
      <c r="T64" s="48" t="s">
        <v>975</v>
      </c>
      <c r="U64" s="828" t="s">
        <v>2202</v>
      </c>
      <c r="V64" s="827" t="s">
        <v>2104</v>
      </c>
      <c r="W64" s="48" t="s">
        <v>1001</v>
      </c>
      <c r="X64" s="48" t="s">
        <v>1528</v>
      </c>
      <c r="Y64" s="826" t="s">
        <v>2023</v>
      </c>
      <c r="Z64" s="351" t="s">
        <v>1036</v>
      </c>
      <c r="AA64" s="826" t="s">
        <v>1929</v>
      </c>
      <c r="AB64" s="351" t="s">
        <v>944</v>
      </c>
      <c r="AC64" s="826" t="s">
        <v>1923</v>
      </c>
      <c r="AD64" s="171" t="s">
        <v>985</v>
      </c>
      <c r="AE64" s="171"/>
      <c r="AF64" s="51" t="s">
        <v>991</v>
      </c>
      <c r="AG64" s="826" t="s">
        <v>1951</v>
      </c>
      <c r="AH64" s="48" t="s">
        <v>1202</v>
      </c>
      <c r="AI64" s="48" t="s">
        <v>1980</v>
      </c>
      <c r="AJ64" s="171" t="s">
        <v>985</v>
      </c>
      <c r="AK64" s="171"/>
      <c r="AL64" s="195" t="s">
        <v>985</v>
      </c>
      <c r="AM64" s="48" t="s">
        <v>978</v>
      </c>
      <c r="AN64" s="868" t="s">
        <v>992</v>
      </c>
      <c r="AO64" s="48" t="s">
        <v>1904</v>
      </c>
      <c r="AP64" s="48" t="s">
        <v>1022</v>
      </c>
      <c r="AQ64" s="826" t="s">
        <v>2100</v>
      </c>
      <c r="AS64" s="47">
        <v>1500</v>
      </c>
      <c r="AT64" s="49">
        <v>1550</v>
      </c>
      <c r="AU64" s="405">
        <v>7</v>
      </c>
      <c r="AV64" s="405"/>
      <c r="AW64" s="405">
        <f>VLOOKUP(Таблица7[[#This Row],[Основное оружие]], Оружие[#All], 2, 0)</f>
        <v>2</v>
      </c>
      <c r="AX64" s="405">
        <f>IF(ISBLANK(Таблица7[[#This Row],[Дополнительное оружие]]),"", VLOOKUP(Таблица7[[#This Row],[Дополнительное оружие]], Оружие[#All], 2, 0))</f>
        <v>5</v>
      </c>
      <c r="AY6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6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6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64" s="405">
        <f>VLOOKUP(Таблица7[[#This Row],[Основное оружие]], Оружие[#All], 3, 0)</f>
        <v>6</v>
      </c>
      <c r="BC64" s="405">
        <f>IF(ISBLANK(Таблица7[[#This Row],[Дополнительное оружие]]),"", VLOOKUP(Таблица7[[#This Row],[Дополнительное оружие]], Оружие[#All], 3, 0))</f>
        <v>3</v>
      </c>
      <c r="BD6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6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64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8</v>
      </c>
      <c r="BG6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6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6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64" s="405">
        <f>Таблица7[[#This Row],[Броня]]+Таблица7[[#This Row],[Щит]]+Таблица7[[#This Row],[навык защиты]]</f>
        <v>10</v>
      </c>
      <c r="BK64" s="1008" t="s">
        <v>1589</v>
      </c>
      <c r="BL64" s="1008"/>
      <c r="BM64" s="376"/>
      <c r="BN64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64" s="376">
        <v>1</v>
      </c>
      <c r="BP64" s="376">
        <v>-2</v>
      </c>
      <c r="BQ64" s="376">
        <v>0</v>
      </c>
      <c r="BR64" s="376">
        <v>-4</v>
      </c>
      <c r="BS64" s="376">
        <v>-2</v>
      </c>
      <c r="BT64" s="376">
        <v>9</v>
      </c>
      <c r="BU64" s="972" t="s">
        <v>1576</v>
      </c>
      <c r="BV64" s="972" t="s">
        <v>1843</v>
      </c>
      <c r="BW64" s="376"/>
      <c r="BX64" s="376"/>
      <c r="BY64" s="376"/>
      <c r="BZ64" s="50"/>
    </row>
    <row r="65" spans="1:78" s="47" customFormat="1" ht="40.5" customHeight="1" x14ac:dyDescent="0.25">
      <c r="A65" s="333">
        <v>64</v>
      </c>
      <c r="B65" s="281" t="s">
        <v>1255</v>
      </c>
      <c r="C65" s="826" t="s">
        <v>2106</v>
      </c>
      <c r="D65" s="48" t="s">
        <v>1555</v>
      </c>
      <c r="E65" s="48" t="s">
        <v>1558</v>
      </c>
      <c r="F65" s="48"/>
      <c r="G65" s="48"/>
      <c r="H65" s="48"/>
      <c r="I65" s="645">
        <v>0.75</v>
      </c>
      <c r="J65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65" s="587">
        <f>Таблица7[[#This Row],[Размер отряда минимум]]*1.25</f>
        <v>37.5</v>
      </c>
      <c r="L65" s="587">
        <f>Таблица7[[#This Row],[Размер отряда норма]]*1.5</f>
        <v>56.25</v>
      </c>
      <c r="M65" s="588">
        <f>Таблица7[[#This Row],[Размер отряда минимум]]*2.5</f>
        <v>75</v>
      </c>
      <c r="N65" s="588"/>
      <c r="O65" s="588"/>
      <c r="P65" s="588"/>
      <c r="Q65" s="588"/>
      <c r="R65" s="48" t="s">
        <v>48</v>
      </c>
      <c r="S65" s="826" t="s">
        <v>2080</v>
      </c>
      <c r="T65" s="48" t="s">
        <v>976</v>
      </c>
      <c r="U65" s="828" t="s">
        <v>2203</v>
      </c>
      <c r="V65" s="827" t="s">
        <v>2107</v>
      </c>
      <c r="W65" s="48" t="s">
        <v>1001</v>
      </c>
      <c r="X65" s="48" t="s">
        <v>1528</v>
      </c>
      <c r="Y65" s="826" t="s">
        <v>2023</v>
      </c>
      <c r="Z65" s="267" t="s">
        <v>1440</v>
      </c>
      <c r="AA65" s="826" t="s">
        <v>2020</v>
      </c>
      <c r="AB65" s="267"/>
      <c r="AC65" s="267"/>
      <c r="AD65" s="171" t="s">
        <v>985</v>
      </c>
      <c r="AE65" s="171"/>
      <c r="AF65" s="51" t="s">
        <v>991</v>
      </c>
      <c r="AG65" s="826" t="s">
        <v>1951</v>
      </c>
      <c r="AH65" s="48" t="s">
        <v>1202</v>
      </c>
      <c r="AI65" s="48" t="s">
        <v>1980</v>
      </c>
      <c r="AJ65" s="171" t="s">
        <v>985</v>
      </c>
      <c r="AK65" s="171"/>
      <c r="AL65" s="195" t="s">
        <v>985</v>
      </c>
      <c r="AM65" s="48" t="s">
        <v>978</v>
      </c>
      <c r="AN65" s="868" t="s">
        <v>992</v>
      </c>
      <c r="AO65" s="48" t="s">
        <v>1904</v>
      </c>
      <c r="AP65" s="48" t="s">
        <v>1022</v>
      </c>
      <c r="AQ65" s="826" t="s">
        <v>2100</v>
      </c>
      <c r="AS65" s="47">
        <v>1550</v>
      </c>
      <c r="AT65" s="49"/>
      <c r="AU65" s="405">
        <v>7</v>
      </c>
      <c r="AV65" s="405"/>
      <c r="AW65" s="405">
        <f>VLOOKUP(Таблица7[[#This Row],[Основное оружие]], Оружие[#All], 2, 0)</f>
        <v>2</v>
      </c>
      <c r="AX65" s="405">
        <f>IF(ISBLANK(Таблица7[[#This Row],[Дополнительное оружие]]),"", VLOOKUP(Таблица7[[#This Row],[Дополнительное оружие]], Оружие[#All], 2, 0))</f>
        <v>4</v>
      </c>
      <c r="AY6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6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6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65" s="405">
        <f>VLOOKUP(Таблица7[[#This Row],[Основное оружие]], Оружие[#All], 3, 0)</f>
        <v>6</v>
      </c>
      <c r="BC65" s="405">
        <f>IF(ISBLANK(Таблица7[[#This Row],[Дополнительное оружие]]),"", VLOOKUP(Таблица7[[#This Row],[Дополнительное оружие]], Оружие[#All], 3, 0))</f>
        <v>3</v>
      </c>
      <c r="BD6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6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65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8</v>
      </c>
      <c r="BG6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6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6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65" s="405">
        <f>Таблица7[[#This Row],[Броня]]+Таблица7[[#This Row],[Щит]]+Таблица7[[#This Row],[навык защиты]]</f>
        <v>7</v>
      </c>
      <c r="BK65" s="1008" t="s">
        <v>1589</v>
      </c>
      <c r="BL65" s="1008"/>
      <c r="BM65" s="376"/>
      <c r="BN65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65" s="376">
        <v>1</v>
      </c>
      <c r="BP65" s="376">
        <v>-2</v>
      </c>
      <c r="BQ65" s="376">
        <v>0</v>
      </c>
      <c r="BR65" s="376">
        <v>-4</v>
      </c>
      <c r="BS65" s="376">
        <v>-2</v>
      </c>
      <c r="BT65" s="376">
        <v>9</v>
      </c>
      <c r="BU65" s="972" t="s">
        <v>1839</v>
      </c>
      <c r="BV65" s="972" t="s">
        <v>1843</v>
      </c>
      <c r="BW65" s="376"/>
      <c r="BX65" s="376"/>
      <c r="BY65" s="376"/>
      <c r="BZ65" s="50"/>
    </row>
    <row r="66" spans="1:78" s="47" customFormat="1" ht="40.5" customHeight="1" x14ac:dyDescent="0.25">
      <c r="A66" s="333">
        <v>65</v>
      </c>
      <c r="B66" s="826" t="s">
        <v>2108</v>
      </c>
      <c r="C66" s="826" t="s">
        <v>2109</v>
      </c>
      <c r="D66" s="48" t="s">
        <v>1555</v>
      </c>
      <c r="E66" s="48" t="s">
        <v>1570</v>
      </c>
      <c r="F66" s="48"/>
      <c r="G66" s="48"/>
      <c r="H66" s="48"/>
      <c r="I66" s="645">
        <v>0.75</v>
      </c>
      <c r="J66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66" s="587">
        <f>Таблица7[[#This Row],[Размер отряда минимум]]*1.25</f>
        <v>37.5</v>
      </c>
      <c r="L66" s="587">
        <f>Таблица7[[#This Row],[Размер отряда норма]]*1.5</f>
        <v>56.25</v>
      </c>
      <c r="M66" s="588">
        <f>Таблица7[[#This Row],[Размер отряда минимум]]*2.5</f>
        <v>75</v>
      </c>
      <c r="N66" s="588"/>
      <c r="O66" s="588"/>
      <c r="P66" s="588"/>
      <c r="Q66" s="588"/>
      <c r="R66" s="48" t="s">
        <v>48</v>
      </c>
      <c r="S66" s="826" t="s">
        <v>2080</v>
      </c>
      <c r="T66" s="48" t="s">
        <v>976</v>
      </c>
      <c r="U66" s="828" t="s">
        <v>2204</v>
      </c>
      <c r="V66" s="827" t="s">
        <v>2110</v>
      </c>
      <c r="W66" s="48" t="s">
        <v>984</v>
      </c>
      <c r="X66" s="48" t="s">
        <v>1469</v>
      </c>
      <c r="Y66" s="48" t="s">
        <v>2056</v>
      </c>
      <c r="Z66" s="48" t="s">
        <v>1440</v>
      </c>
      <c r="AA66" s="826" t="s">
        <v>2020</v>
      </c>
      <c r="AB66" s="48"/>
      <c r="AC66" s="48"/>
      <c r="AD66" s="171" t="s">
        <v>985</v>
      </c>
      <c r="AE66" s="171"/>
      <c r="AF66" s="48" t="s">
        <v>991</v>
      </c>
      <c r="AG66" s="826" t="s">
        <v>1951</v>
      </c>
      <c r="AH66" s="48" t="s">
        <v>985</v>
      </c>
      <c r="AI66" s="48"/>
      <c r="AJ66" s="171" t="s">
        <v>985</v>
      </c>
      <c r="AK66" s="171"/>
      <c r="AL66" s="195" t="s">
        <v>985</v>
      </c>
      <c r="AM66" s="48" t="s">
        <v>978</v>
      </c>
      <c r="AN66" s="868" t="s">
        <v>992</v>
      </c>
      <c r="AO66" s="826" t="s">
        <v>1904</v>
      </c>
      <c r="AP66" s="48" t="s">
        <v>1022</v>
      </c>
      <c r="AQ66" s="826" t="s">
        <v>2100</v>
      </c>
      <c r="AS66" s="47">
        <v>1550</v>
      </c>
      <c r="AT66" s="49"/>
      <c r="AU66" s="405">
        <v>5</v>
      </c>
      <c r="AV66" s="405" t="s">
        <v>1827</v>
      </c>
      <c r="AW66" s="405">
        <f>VLOOKUP(Таблица7[[#This Row],[Основное оружие]], Оружие[#All], 2, 0)</f>
        <v>0</v>
      </c>
      <c r="AX66" s="405">
        <f>IF(ISBLANK(Таблица7[[#This Row],[Дополнительное оружие]]),"", VLOOKUP(Таблица7[[#This Row],[Дополнительное оружие]], Оружие[#All], 2, 0))</f>
        <v>4</v>
      </c>
      <c r="AY6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6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6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66" s="405">
        <f>VLOOKUP(Таблица7[[#This Row],[Основное оружие]], Оружие[#All], 3, 0)</f>
        <v>1</v>
      </c>
      <c r="BC66" s="405">
        <f>IF(ISBLANK(Таблица7[[#This Row],[Дополнительное оружие]]),"", VLOOKUP(Таблица7[[#This Row],[Дополнительное оружие]], Оружие[#All], 3, 0))</f>
        <v>3</v>
      </c>
      <c r="BD6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6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6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6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6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6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66" s="405">
        <f>Таблица7[[#This Row],[Броня]]+Таблица7[[#This Row],[Щит]]+Таблица7[[#This Row],[навык защиты]]</f>
        <v>5</v>
      </c>
      <c r="BK66" s="1008" t="s">
        <v>1589</v>
      </c>
      <c r="BL66" s="1008"/>
      <c r="BM66" s="376"/>
      <c r="BN66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66" s="376">
        <v>1</v>
      </c>
      <c r="BP66" s="376">
        <v>-2</v>
      </c>
      <c r="BQ66" s="376">
        <v>0</v>
      </c>
      <c r="BR66" s="376">
        <v>-4</v>
      </c>
      <c r="BS66" s="376">
        <v>-2</v>
      </c>
      <c r="BT66" s="376">
        <v>6</v>
      </c>
      <c r="BU66" s="972" t="s">
        <v>1576</v>
      </c>
      <c r="BV66" s="972" t="s">
        <v>1843</v>
      </c>
      <c r="BW66" s="376"/>
      <c r="BX66" s="376"/>
      <c r="BY66" s="376"/>
      <c r="BZ66" s="50"/>
    </row>
    <row r="67" spans="1:78" s="47" customFormat="1" ht="40.5" customHeight="1" x14ac:dyDescent="0.25">
      <c r="A67" s="333">
        <v>66</v>
      </c>
      <c r="B67" s="281" t="s">
        <v>1256</v>
      </c>
      <c r="C67" s="835" t="s">
        <v>2250</v>
      </c>
      <c r="D67" s="48" t="s">
        <v>1555</v>
      </c>
      <c r="E67" s="48" t="s">
        <v>1547</v>
      </c>
      <c r="F67" s="48"/>
      <c r="G67" s="48"/>
      <c r="H67" s="48"/>
      <c r="I67" s="645">
        <v>0.75</v>
      </c>
      <c r="J67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67" s="587">
        <f>Таблица7[[#This Row],[Размер отряда минимум]]*1.25</f>
        <v>18.75</v>
      </c>
      <c r="L67" s="587">
        <f>Таблица7[[#This Row],[Размер отряда норма]]*1.5</f>
        <v>28.125</v>
      </c>
      <c r="M67" s="687">
        <f>Таблица7[[#This Row],[Размер отряда минимум]]*2.5</f>
        <v>37.5</v>
      </c>
      <c r="N67" s="687"/>
      <c r="O67" s="687"/>
      <c r="P67" s="687"/>
      <c r="Q67" s="687"/>
      <c r="R67" s="48" t="s">
        <v>48</v>
      </c>
      <c r="S67" s="826" t="s">
        <v>2080</v>
      </c>
      <c r="T67" s="48" t="s">
        <v>975</v>
      </c>
      <c r="U67" s="828" t="s">
        <v>2205</v>
      </c>
      <c r="V67" s="827" t="s">
        <v>2111</v>
      </c>
      <c r="W67" s="171" t="s">
        <v>1001</v>
      </c>
      <c r="X67" s="48" t="s">
        <v>2105</v>
      </c>
      <c r="Y67" s="826" t="s">
        <v>2024</v>
      </c>
      <c r="Z67" s="48" t="s">
        <v>1036</v>
      </c>
      <c r="AA67" s="826" t="s">
        <v>1929</v>
      </c>
      <c r="AB67" s="48"/>
      <c r="AC67" s="48"/>
      <c r="AD67" s="171" t="s">
        <v>1002</v>
      </c>
      <c r="AE67" s="828" t="s">
        <v>2025</v>
      </c>
      <c r="AF67" s="51" t="s">
        <v>985</v>
      </c>
      <c r="AG67" s="51"/>
      <c r="AH67" s="51" t="s">
        <v>985</v>
      </c>
      <c r="AI67" s="51"/>
      <c r="AJ67" s="48" t="s">
        <v>1004</v>
      </c>
      <c r="AK67" s="826" t="s">
        <v>1952</v>
      </c>
      <c r="AL67" s="195" t="s">
        <v>1163</v>
      </c>
      <c r="AM67" s="48" t="s">
        <v>977</v>
      </c>
      <c r="AN67" s="48" t="s">
        <v>999</v>
      </c>
      <c r="AO67" s="826" t="s">
        <v>2032</v>
      </c>
      <c r="AP67" s="48" t="s">
        <v>1028</v>
      </c>
      <c r="AQ67" s="826" t="s">
        <v>2112</v>
      </c>
      <c r="AS67" s="47">
        <v>1500</v>
      </c>
      <c r="AT67" s="49">
        <v>1560</v>
      </c>
      <c r="AU67" s="405">
        <v>7</v>
      </c>
      <c r="AV67" s="405"/>
      <c r="AW67" s="405">
        <f>VLOOKUP(Таблица7[[#This Row],[Основное оружие]], Оружие[#All], 2, 0)</f>
        <v>2</v>
      </c>
      <c r="AX67" s="405">
        <f>IF(ISBLANK(Таблица7[[#This Row],[Дополнительное оружие]]),"", VLOOKUP(Таблица7[[#This Row],[Дополнительное оружие]], Оружие[#All], 2, 0))</f>
        <v>5</v>
      </c>
      <c r="AY6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6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6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67" s="405">
        <f>VLOOKUP(Таблица7[[#This Row],[Основное оружие]], Оружие[#All], 3, 0)</f>
        <v>10</v>
      </c>
      <c r="BC67" s="405">
        <f>IF(ISBLANK(Таблица7[[#This Row],[Дополнительное оружие]]),"", VLOOKUP(Таблица7[[#This Row],[Дополнительное оружие]], Оружие[#All], 3, 0))</f>
        <v>3</v>
      </c>
      <c r="BD6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6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6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67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6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6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67" s="405">
        <f>Таблица7[[#This Row],[Броня]]+Таблица7[[#This Row],[Щит]]+Таблица7[[#This Row],[навык защиты]]</f>
        <v>24</v>
      </c>
      <c r="BK67" s="1006"/>
      <c r="BL67" s="1006"/>
      <c r="BM67" s="376"/>
      <c r="BN67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67" s="376">
        <v>1</v>
      </c>
      <c r="BP67" s="376">
        <v>-2</v>
      </c>
      <c r="BQ67" s="376">
        <v>0</v>
      </c>
      <c r="BR67" s="376">
        <v>-4</v>
      </c>
      <c r="BS67" s="376">
        <v>-2</v>
      </c>
      <c r="BT67" s="376">
        <v>9</v>
      </c>
      <c r="BU67" s="972" t="s">
        <v>1576</v>
      </c>
      <c r="BV67" s="972" t="s">
        <v>1843</v>
      </c>
      <c r="BW67" s="376"/>
      <c r="BX67" s="376"/>
      <c r="BY67" s="376"/>
      <c r="BZ67" s="50"/>
    </row>
    <row r="68" spans="1:78" s="47" customFormat="1" ht="40.5" customHeight="1" x14ac:dyDescent="0.25">
      <c r="A68" s="333">
        <v>67</v>
      </c>
      <c r="B68" s="281" t="s">
        <v>1257</v>
      </c>
      <c r="C68" s="835" t="s">
        <v>2251</v>
      </c>
      <c r="D68" s="48" t="s">
        <v>1555</v>
      </c>
      <c r="E68" s="48" t="s">
        <v>1547</v>
      </c>
      <c r="F68" s="48"/>
      <c r="G68" s="48"/>
      <c r="H68" s="48"/>
      <c r="I68" s="645">
        <v>0.75</v>
      </c>
      <c r="J68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68" s="587">
        <f>Таблица7[[#This Row],[Размер отряда минимум]]*1.25</f>
        <v>22.5</v>
      </c>
      <c r="L68" s="587">
        <f>Таблица7[[#This Row],[Размер отряда норма]]*1.5</f>
        <v>33.75</v>
      </c>
      <c r="M68" s="588">
        <f>Таблица7[[#This Row],[Размер отряда минимум]]*2.5</f>
        <v>45</v>
      </c>
      <c r="N68" s="588"/>
      <c r="O68" s="588"/>
      <c r="P68" s="588"/>
      <c r="Q68" s="588"/>
      <c r="R68" s="48" t="s">
        <v>48</v>
      </c>
      <c r="S68" s="826" t="s">
        <v>2080</v>
      </c>
      <c r="T68" s="48" t="s">
        <v>976</v>
      </c>
      <c r="U68" s="828" t="s">
        <v>2206</v>
      </c>
      <c r="V68" s="827" t="s">
        <v>2113</v>
      </c>
      <c r="W68" s="171" t="s">
        <v>1001</v>
      </c>
      <c r="X68" s="48" t="s">
        <v>1950</v>
      </c>
      <c r="Y68" s="826" t="s">
        <v>1949</v>
      </c>
      <c r="Z68" s="48" t="s">
        <v>1440</v>
      </c>
      <c r="AA68" s="826" t="s">
        <v>2020</v>
      </c>
      <c r="AB68" s="48"/>
      <c r="AC68" s="48"/>
      <c r="AD68" s="171" t="s">
        <v>1481</v>
      </c>
      <c r="AE68" s="171" t="s">
        <v>1978</v>
      </c>
      <c r="AF68" s="51" t="s">
        <v>985</v>
      </c>
      <c r="AG68" s="51"/>
      <c r="AH68" s="51" t="s">
        <v>985</v>
      </c>
      <c r="AI68" s="51"/>
      <c r="AJ68" s="48" t="s">
        <v>1005</v>
      </c>
      <c r="AK68" s="48" t="s">
        <v>2031</v>
      </c>
      <c r="AL68" s="195" t="s">
        <v>985</v>
      </c>
      <c r="AM68" s="48" t="s">
        <v>977</v>
      </c>
      <c r="AN68" s="48" t="s">
        <v>999</v>
      </c>
      <c r="AO68" s="826" t="s">
        <v>2032</v>
      </c>
      <c r="AP68" s="48" t="s">
        <v>1030</v>
      </c>
      <c r="AQ68" s="826" t="s">
        <v>2114</v>
      </c>
      <c r="AS68" s="47">
        <v>1565</v>
      </c>
      <c r="AT68" s="49"/>
      <c r="AU68" s="405">
        <v>7</v>
      </c>
      <c r="AV68" s="405" t="s">
        <v>1827</v>
      </c>
      <c r="AW68" s="405">
        <f>VLOOKUP(Таблица7[[#This Row],[Основное оружие]], Оружие[#All], 2, 0)</f>
        <v>0</v>
      </c>
      <c r="AX68" s="405">
        <f>IF(ISBLANK(Таблица7[[#This Row],[Дополнительное оружие]]),"", VLOOKUP(Таблица7[[#This Row],[Дополнительное оружие]], Оружие[#All], 2, 0))</f>
        <v>4</v>
      </c>
      <c r="AY6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6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6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68" s="405">
        <f>VLOOKUP(Таблица7[[#This Row],[Основное оружие]], Оружие[#All], 3, 0)</f>
        <v>1</v>
      </c>
      <c r="BC68" s="405">
        <f>IF(ISBLANK(Таблица7[[#This Row],[Дополнительное оружие]]),"", VLOOKUP(Таблица7[[#This Row],[Дополнительное оружие]], Оружие[#All], 3, 0))</f>
        <v>3</v>
      </c>
      <c r="BD6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6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6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6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6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6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68" s="405">
        <f>Таблица7[[#This Row],[Броня]]+Таблица7[[#This Row],[Щит]]+Таблица7[[#This Row],[навык защиты]]</f>
        <v>21</v>
      </c>
      <c r="BK68" s="1006"/>
      <c r="BL68" s="1006"/>
      <c r="BM68" s="376"/>
      <c r="BN68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68" s="376">
        <v>1</v>
      </c>
      <c r="BP68" s="376">
        <v>-2</v>
      </c>
      <c r="BQ68" s="376">
        <v>0</v>
      </c>
      <c r="BR68" s="376">
        <v>-4</v>
      </c>
      <c r="BS68" s="376">
        <v>-2</v>
      </c>
      <c r="BT68" s="376">
        <v>9</v>
      </c>
      <c r="BU68" s="972" t="s">
        <v>1576</v>
      </c>
      <c r="BV68" s="972" t="s">
        <v>1843</v>
      </c>
      <c r="BW68" s="376"/>
      <c r="BX68" s="376"/>
      <c r="BY68" s="376"/>
      <c r="BZ68" s="50"/>
    </row>
    <row r="69" spans="1:78" s="47" customFormat="1" ht="40.5" customHeight="1" x14ac:dyDescent="0.25">
      <c r="A69" s="333">
        <v>68</v>
      </c>
      <c r="B69" s="281" t="s">
        <v>1258</v>
      </c>
      <c r="C69" s="835" t="s">
        <v>2115</v>
      </c>
      <c r="D69" s="48" t="s">
        <v>1556</v>
      </c>
      <c r="E69" s="48" t="s">
        <v>1570</v>
      </c>
      <c r="F69" s="48"/>
      <c r="G69" s="48"/>
      <c r="H69" s="48"/>
      <c r="I69" s="645">
        <v>0.75</v>
      </c>
      <c r="J69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69" s="587">
        <f>Таблица7[[#This Row],[Размер отряда минимум]]*1.25</f>
        <v>84.375</v>
      </c>
      <c r="L69" s="587">
        <f>Таблица7[[#This Row],[Размер отряда норма]]*1.5</f>
        <v>126.5625</v>
      </c>
      <c r="M69" s="588">
        <f>Таблица7[[#This Row],[Размер отряда минимум]]*2.5</f>
        <v>168.75</v>
      </c>
      <c r="N69" s="588"/>
      <c r="O69" s="588"/>
      <c r="P69" s="588"/>
      <c r="Q69" s="588"/>
      <c r="R69" s="48" t="s">
        <v>48</v>
      </c>
      <c r="S69" s="826" t="s">
        <v>2080</v>
      </c>
      <c r="T69" s="48" t="s">
        <v>975</v>
      </c>
      <c r="U69" s="828" t="s">
        <v>2207</v>
      </c>
      <c r="V69" s="827" t="s">
        <v>2117</v>
      </c>
      <c r="W69" s="48" t="s">
        <v>1001</v>
      </c>
      <c r="X69" s="48" t="s">
        <v>1469</v>
      </c>
      <c r="Y69" s="48" t="s">
        <v>2056</v>
      </c>
      <c r="Z69" s="48" t="s">
        <v>1036</v>
      </c>
      <c r="AA69" s="826" t="s">
        <v>1929</v>
      </c>
      <c r="AB69" s="48"/>
      <c r="AC69" s="48"/>
      <c r="AD69" s="171" t="s">
        <v>985</v>
      </c>
      <c r="AE69" s="171"/>
      <c r="AF69" s="48" t="s">
        <v>991</v>
      </c>
      <c r="AG69" s="826" t="s">
        <v>1951</v>
      </c>
      <c r="AH69" s="48" t="s">
        <v>1211</v>
      </c>
      <c r="AI69" s="48" t="s">
        <v>1963</v>
      </c>
      <c r="AJ69" s="171" t="s">
        <v>985</v>
      </c>
      <c r="AK69" s="171"/>
      <c r="AL69" s="195" t="s">
        <v>985</v>
      </c>
      <c r="AM69" s="48" t="s">
        <v>978</v>
      </c>
      <c r="AN69" s="868" t="s">
        <v>2381</v>
      </c>
      <c r="AO69" s="905" t="s">
        <v>2057</v>
      </c>
      <c r="AP69" s="48" t="s">
        <v>1024</v>
      </c>
      <c r="AQ69" s="826" t="s">
        <v>2085</v>
      </c>
      <c r="AS69" s="47">
        <v>1500</v>
      </c>
      <c r="AT69" s="49">
        <v>1550</v>
      </c>
      <c r="AU69" s="405">
        <v>3</v>
      </c>
      <c r="AV69" s="405" t="s">
        <v>1827</v>
      </c>
      <c r="AW69" s="405">
        <f>VLOOKUP(Таблица7[[#This Row],[Основное оружие]], Оружие[#All], 2, 0)</f>
        <v>0</v>
      </c>
      <c r="AX69" s="405">
        <f>IF(ISBLANK(Таблица7[[#This Row],[Дополнительное оружие]]),"", VLOOKUP(Таблица7[[#This Row],[Дополнительное оружие]], Оружие[#All], 2, 0))</f>
        <v>5</v>
      </c>
      <c r="AY6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6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6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69" s="405">
        <f>VLOOKUP(Таблица7[[#This Row],[Основное оружие]], Оружие[#All], 3, 0)</f>
        <v>1</v>
      </c>
      <c r="BC69" s="405">
        <f>IF(ISBLANK(Таблица7[[#This Row],[Дополнительное оружие]]),"", VLOOKUP(Таблица7[[#This Row],[Дополнительное оружие]], Оружие[#All], 3, 0))</f>
        <v>3</v>
      </c>
      <c r="BD6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6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69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15</v>
      </c>
      <c r="BG6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6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6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69" s="405">
        <f>Таблица7[[#This Row],[Броня]]+Таблица7[[#This Row],[Щит]]+Таблица7[[#This Row],[навык защиты]]</f>
        <v>5</v>
      </c>
      <c r="BK69" s="1006"/>
      <c r="BL69" s="1006"/>
      <c r="BM69" s="376"/>
      <c r="BN69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69" s="376">
        <v>1</v>
      </c>
      <c r="BP69" s="376">
        <v>1</v>
      </c>
      <c r="BQ69" s="376">
        <v>0</v>
      </c>
      <c r="BR69" s="376">
        <v>2</v>
      </c>
      <c r="BS69" s="376">
        <v>0</v>
      </c>
      <c r="BT69" s="376">
        <v>9</v>
      </c>
      <c r="BU69" s="972" t="s">
        <v>1576</v>
      </c>
      <c r="BV69" s="972" t="s">
        <v>1843</v>
      </c>
      <c r="BW69" s="376"/>
      <c r="BX69" s="376"/>
      <c r="BY69" s="376"/>
      <c r="BZ69" s="50"/>
    </row>
    <row r="70" spans="1:78" s="47" customFormat="1" ht="40.5" customHeight="1" x14ac:dyDescent="0.25">
      <c r="A70" s="333">
        <v>69</v>
      </c>
      <c r="B70" s="826" t="s">
        <v>2122</v>
      </c>
      <c r="C70" s="835" t="s">
        <v>2252</v>
      </c>
      <c r="D70" s="48" t="s">
        <v>1556</v>
      </c>
      <c r="E70" s="48" t="s">
        <v>1570</v>
      </c>
      <c r="F70" s="48"/>
      <c r="G70" s="48"/>
      <c r="H70" s="48"/>
      <c r="I70" s="645">
        <v>0.75</v>
      </c>
      <c r="J70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70" s="587">
        <f>Таблица7[[#This Row],[Размер отряда минимум]]*1.25</f>
        <v>93.75</v>
      </c>
      <c r="L70" s="587">
        <f>Таблица7[[#This Row],[Размер отряда норма]]*1.5</f>
        <v>140.625</v>
      </c>
      <c r="M70" s="588">
        <f>Таблица7[[#This Row],[Размер отряда минимум]]*2.5</f>
        <v>187.5</v>
      </c>
      <c r="N70" s="588"/>
      <c r="O70" s="588"/>
      <c r="P70" s="588"/>
      <c r="Q70" s="588"/>
      <c r="R70" s="48" t="s">
        <v>48</v>
      </c>
      <c r="S70" s="826" t="s">
        <v>2080</v>
      </c>
      <c r="T70" s="48" t="s">
        <v>976</v>
      </c>
      <c r="U70" s="828" t="s">
        <v>2208</v>
      </c>
      <c r="V70" s="827" t="s">
        <v>2116</v>
      </c>
      <c r="W70" s="48" t="s">
        <v>1001</v>
      </c>
      <c r="X70" s="48" t="s">
        <v>1469</v>
      </c>
      <c r="Y70" s="826" t="s">
        <v>2056</v>
      </c>
      <c r="Z70" s="48" t="s">
        <v>1440</v>
      </c>
      <c r="AA70" s="826" t="s">
        <v>2020</v>
      </c>
      <c r="AB70" s="48"/>
      <c r="AC70" s="48"/>
      <c r="AD70" s="171" t="s">
        <v>985</v>
      </c>
      <c r="AE70" s="171"/>
      <c r="AF70" s="48" t="s">
        <v>991</v>
      </c>
      <c r="AG70" s="826" t="s">
        <v>1951</v>
      </c>
      <c r="AH70" s="48" t="s">
        <v>985</v>
      </c>
      <c r="AI70" s="48"/>
      <c r="AJ70" s="171" t="s">
        <v>985</v>
      </c>
      <c r="AK70" s="171"/>
      <c r="AL70" s="195" t="s">
        <v>985</v>
      </c>
      <c r="AM70" s="48" t="s">
        <v>978</v>
      </c>
      <c r="AN70" s="868" t="s">
        <v>2381</v>
      </c>
      <c r="AO70" s="826" t="s">
        <v>2057</v>
      </c>
      <c r="AP70" s="48" t="s">
        <v>1024</v>
      </c>
      <c r="AQ70" s="826" t="s">
        <v>2085</v>
      </c>
      <c r="AS70" s="47">
        <v>1550</v>
      </c>
      <c r="AT70" s="49"/>
      <c r="AU70" s="405">
        <v>4</v>
      </c>
      <c r="AV70" s="405" t="s">
        <v>1828</v>
      </c>
      <c r="AW70" s="405">
        <f>VLOOKUP(Таблица7[[#This Row],[Основное оружие]], Оружие[#All], 2, 0)</f>
        <v>0</v>
      </c>
      <c r="AX70" s="405">
        <f>IF(ISBLANK(Таблица7[[#This Row],[Дополнительное оружие]]),"", VLOOKUP(Таблица7[[#This Row],[Дополнительное оружие]], Оружие[#All], 2, 0))</f>
        <v>4</v>
      </c>
      <c r="AY7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7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7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70" s="405">
        <f>VLOOKUP(Таблица7[[#This Row],[Основное оружие]], Оружие[#All], 3, 0)</f>
        <v>1</v>
      </c>
      <c r="BC70" s="405">
        <f>IF(ISBLANK(Таблица7[[#This Row],[Дополнительное оружие]]),"", VLOOKUP(Таблица7[[#This Row],[Дополнительное оружие]], Оружие[#All], 3, 0))</f>
        <v>3</v>
      </c>
      <c r="BD7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7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7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7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7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70" s="405">
        <f>Таблица7[[#This Row],[Броня]]+Таблица7[[#This Row],[Щит]]+Таблица7[[#This Row],[навык защиты]]</f>
        <v>6</v>
      </c>
      <c r="BK70" s="1006"/>
      <c r="BL70" s="1006"/>
      <c r="BM70" s="376"/>
      <c r="BN70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70" s="376">
        <v>1</v>
      </c>
      <c r="BP70" s="376">
        <v>1</v>
      </c>
      <c r="BQ70" s="376">
        <v>0</v>
      </c>
      <c r="BR70" s="376">
        <v>2</v>
      </c>
      <c r="BS70" s="376">
        <v>0</v>
      </c>
      <c r="BT70" s="376">
        <v>11</v>
      </c>
      <c r="BU70" s="972" t="s">
        <v>1576</v>
      </c>
      <c r="BV70" s="972" t="s">
        <v>1843</v>
      </c>
      <c r="BW70" s="376"/>
      <c r="BX70" s="376"/>
      <c r="BY70" s="376"/>
      <c r="BZ70" s="50"/>
    </row>
    <row r="71" spans="1:78" s="47" customFormat="1" ht="40.5" customHeight="1" x14ac:dyDescent="0.25">
      <c r="A71" s="333">
        <v>70</v>
      </c>
      <c r="B71" s="826" t="s">
        <v>2118</v>
      </c>
      <c r="C71" s="835" t="s">
        <v>2253</v>
      </c>
      <c r="D71" s="48" t="s">
        <v>1556</v>
      </c>
      <c r="E71" s="48" t="s">
        <v>1570</v>
      </c>
      <c r="F71" s="48"/>
      <c r="G71" s="48"/>
      <c r="H71" s="48"/>
      <c r="I71" s="645">
        <v>0.2</v>
      </c>
      <c r="J71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71" s="587">
        <f>Таблица7[[#This Row],[Размер отряда минимум]]*1.25</f>
        <v>22.5</v>
      </c>
      <c r="L71" s="587">
        <f>Таблица7[[#This Row],[Размер отряда норма]]*1.5</f>
        <v>33.75</v>
      </c>
      <c r="M71" s="588">
        <f>Таблица7[[#This Row],[Размер отряда минимум]]*2.5</f>
        <v>45</v>
      </c>
      <c r="N71" s="588"/>
      <c r="O71" s="588"/>
      <c r="P71" s="588"/>
      <c r="Q71" s="588"/>
      <c r="R71" s="48" t="s">
        <v>48</v>
      </c>
      <c r="S71" s="826" t="s">
        <v>2080</v>
      </c>
      <c r="T71" s="48" t="s">
        <v>975</v>
      </c>
      <c r="U71" s="828" t="s">
        <v>2209</v>
      </c>
      <c r="V71" s="827" t="s">
        <v>2125</v>
      </c>
      <c r="W71" s="48" t="s">
        <v>1001</v>
      </c>
      <c r="X71" s="48" t="s">
        <v>1698</v>
      </c>
      <c r="Y71" s="48" t="s">
        <v>1946</v>
      </c>
      <c r="Z71" s="48" t="s">
        <v>1036</v>
      </c>
      <c r="AA71" s="826" t="s">
        <v>1929</v>
      </c>
      <c r="AB71" s="48"/>
      <c r="AC71" s="48"/>
      <c r="AD71" s="171" t="s">
        <v>985</v>
      </c>
      <c r="AE71" s="171"/>
      <c r="AF71" s="48" t="s">
        <v>991</v>
      </c>
      <c r="AG71" s="826" t="s">
        <v>1951</v>
      </c>
      <c r="AH71" s="48" t="s">
        <v>985</v>
      </c>
      <c r="AI71" s="48"/>
      <c r="AJ71" s="171" t="s">
        <v>985</v>
      </c>
      <c r="AK71" s="171"/>
      <c r="AL71" s="195" t="s">
        <v>985</v>
      </c>
      <c r="AM71" s="48" t="s">
        <v>977</v>
      </c>
      <c r="AN71" s="868" t="s">
        <v>2382</v>
      </c>
      <c r="AO71" s="826" t="s">
        <v>2062</v>
      </c>
      <c r="AP71" s="48" t="s">
        <v>1024</v>
      </c>
      <c r="AQ71" s="826" t="s">
        <v>2085</v>
      </c>
      <c r="AS71" s="47">
        <v>1520</v>
      </c>
      <c r="AT71" s="49">
        <v>1564</v>
      </c>
      <c r="AU71" s="405">
        <v>3</v>
      </c>
      <c r="AV71" s="405" t="s">
        <v>1827</v>
      </c>
      <c r="AW71" s="405">
        <f>VLOOKUP(Таблица7[[#This Row],[Основное оружие]], Оружие[#All], 2, 0)</f>
        <v>0</v>
      </c>
      <c r="AX71" s="405">
        <f>IF(ISBLANK(Таблица7[[#This Row],[Дополнительное оружие]]),"", VLOOKUP(Таблица7[[#This Row],[Дополнительное оружие]], Оружие[#All], 2, 0))</f>
        <v>5</v>
      </c>
      <c r="AY7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7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7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71" s="405">
        <f>VLOOKUP(Таблица7[[#This Row],[Основное оружие]], Оружие[#All], 3, 0)</f>
        <v>1</v>
      </c>
      <c r="BC71" s="405">
        <f>IF(ISBLANK(Таблица7[[#This Row],[Дополнительное оружие]]),"", VLOOKUP(Таблица7[[#This Row],[Дополнительное оружие]], Оружие[#All], 3, 0))</f>
        <v>3</v>
      </c>
      <c r="BD7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7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7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7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7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71" s="405">
        <f>Таблица7[[#This Row],[Броня]]+Таблица7[[#This Row],[Щит]]+Таблица7[[#This Row],[навык защиты]]</f>
        <v>5</v>
      </c>
      <c r="BK71" s="1006"/>
      <c r="BL71" s="1006"/>
      <c r="BM71" s="376"/>
      <c r="BN71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71" s="376">
        <v>1</v>
      </c>
      <c r="BP71" s="376">
        <v>1</v>
      </c>
      <c r="BQ71" s="376">
        <v>0</v>
      </c>
      <c r="BR71" s="376">
        <v>2</v>
      </c>
      <c r="BS71" s="376">
        <v>0</v>
      </c>
      <c r="BT71" s="376">
        <v>11</v>
      </c>
      <c r="BU71" s="972" t="s">
        <v>1576</v>
      </c>
      <c r="BV71" s="972" t="s">
        <v>1843</v>
      </c>
      <c r="BW71" s="376"/>
      <c r="BX71" s="376"/>
      <c r="BY71" s="376"/>
      <c r="BZ71" s="50"/>
    </row>
    <row r="72" spans="1:78" s="47" customFormat="1" ht="40.5" customHeight="1" x14ac:dyDescent="0.25">
      <c r="A72" s="333">
        <v>71</v>
      </c>
      <c r="B72" s="826" t="s">
        <v>2123</v>
      </c>
      <c r="C72" s="835" t="s">
        <v>2254</v>
      </c>
      <c r="D72" s="48" t="s">
        <v>1556</v>
      </c>
      <c r="E72" s="48" t="s">
        <v>1570</v>
      </c>
      <c r="F72" s="48"/>
      <c r="G72" s="48"/>
      <c r="H72" s="48"/>
      <c r="I72" s="645">
        <v>0.2</v>
      </c>
      <c r="J72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20</v>
      </c>
      <c r="K72" s="587">
        <f>Таблица7[[#This Row],[Размер отряда минимум]]*1.25</f>
        <v>25</v>
      </c>
      <c r="L72" s="587">
        <f>Таблица7[[#This Row],[Размер отряда норма]]*1.5</f>
        <v>37.5</v>
      </c>
      <c r="M72" s="588">
        <f>Таблица7[[#This Row],[Размер отряда минимум]]*2.5</f>
        <v>50</v>
      </c>
      <c r="N72" s="588"/>
      <c r="O72" s="588"/>
      <c r="P72" s="588"/>
      <c r="Q72" s="588"/>
      <c r="R72" s="48" t="s">
        <v>48</v>
      </c>
      <c r="S72" s="826" t="s">
        <v>2080</v>
      </c>
      <c r="T72" s="48" t="s">
        <v>976</v>
      </c>
      <c r="U72" s="828" t="s">
        <v>2210</v>
      </c>
      <c r="V72" s="827" t="s">
        <v>2126</v>
      </c>
      <c r="W72" s="48" t="s">
        <v>1001</v>
      </c>
      <c r="X72" s="48" t="s">
        <v>1698</v>
      </c>
      <c r="Y72" s="48" t="s">
        <v>1946</v>
      </c>
      <c r="Z72" s="48" t="s">
        <v>1440</v>
      </c>
      <c r="AA72" s="826" t="s">
        <v>2020</v>
      </c>
      <c r="AB72" s="48"/>
      <c r="AC72" s="48"/>
      <c r="AD72" s="171" t="s">
        <v>985</v>
      </c>
      <c r="AE72" s="171"/>
      <c r="AF72" s="48" t="s">
        <v>991</v>
      </c>
      <c r="AG72" s="826" t="s">
        <v>1951</v>
      </c>
      <c r="AH72" s="48" t="s">
        <v>985</v>
      </c>
      <c r="AI72" s="48"/>
      <c r="AJ72" s="171" t="s">
        <v>985</v>
      </c>
      <c r="AK72" s="171"/>
      <c r="AL72" s="195" t="s">
        <v>985</v>
      </c>
      <c r="AM72" s="48" t="s">
        <v>977</v>
      </c>
      <c r="AN72" s="868" t="s">
        <v>2382</v>
      </c>
      <c r="AO72" s="898" t="s">
        <v>2062</v>
      </c>
      <c r="AP72" s="48" t="s">
        <v>1024</v>
      </c>
      <c r="AQ72" s="826" t="s">
        <v>2085</v>
      </c>
      <c r="AS72" s="47">
        <v>1564</v>
      </c>
      <c r="AT72" s="49"/>
      <c r="AU72" s="405">
        <v>4</v>
      </c>
      <c r="AV72" s="405" t="s">
        <v>1828</v>
      </c>
      <c r="AW72" s="405">
        <f>VLOOKUP(Таблица7[[#This Row],[Основное оружие]], Оружие[#All], 2, 0)</f>
        <v>0</v>
      </c>
      <c r="AX72" s="405">
        <f>IF(ISBLANK(Таблица7[[#This Row],[Дополнительное оружие]]),"", VLOOKUP(Таблица7[[#This Row],[Дополнительное оружие]], Оружие[#All], 2, 0))</f>
        <v>4</v>
      </c>
      <c r="AY7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7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7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72" s="405">
        <f>VLOOKUP(Таблица7[[#This Row],[Основное оружие]], Оружие[#All], 3, 0)</f>
        <v>1</v>
      </c>
      <c r="BC72" s="405">
        <f>IF(ISBLANK(Таблица7[[#This Row],[Дополнительное оружие]]),"", VLOOKUP(Таблица7[[#This Row],[Дополнительное оружие]], Оружие[#All], 3, 0))</f>
        <v>3</v>
      </c>
      <c r="BD7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7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7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7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7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72" s="405">
        <f>Таблица7[[#This Row],[Броня]]+Таблица7[[#This Row],[Щит]]+Таблица7[[#This Row],[навык защиты]]</f>
        <v>6</v>
      </c>
      <c r="BK72" s="1006"/>
      <c r="BL72" s="1006"/>
      <c r="BM72" s="376"/>
      <c r="BN72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72" s="376">
        <v>1</v>
      </c>
      <c r="BP72" s="376">
        <v>1</v>
      </c>
      <c r="BQ72" s="376">
        <v>0</v>
      </c>
      <c r="BR72" s="376">
        <v>2</v>
      </c>
      <c r="BS72" s="376">
        <v>0</v>
      </c>
      <c r="BT72" s="376">
        <v>11</v>
      </c>
      <c r="BU72" s="972" t="s">
        <v>1576</v>
      </c>
      <c r="BV72" s="972" t="s">
        <v>1843</v>
      </c>
      <c r="BW72" s="376"/>
      <c r="BX72" s="376"/>
      <c r="BY72" s="376"/>
      <c r="BZ72" s="50"/>
    </row>
    <row r="73" spans="1:78" s="47" customFormat="1" ht="40.5" customHeight="1" x14ac:dyDescent="0.25">
      <c r="A73" s="333">
        <v>72</v>
      </c>
      <c r="B73" s="826" t="s">
        <v>2124</v>
      </c>
      <c r="C73" s="835" t="s">
        <v>2255</v>
      </c>
      <c r="D73" s="48" t="s">
        <v>1555</v>
      </c>
      <c r="E73" s="48" t="s">
        <v>1547</v>
      </c>
      <c r="F73" s="48"/>
      <c r="G73" s="48"/>
      <c r="H73" s="48"/>
      <c r="I73" s="645">
        <v>0.5</v>
      </c>
      <c r="J73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73" s="587">
        <f>Таблица7[[#This Row],[Размер отряда минимум]]*1.25</f>
        <v>12.5</v>
      </c>
      <c r="L73" s="587">
        <f>Таблица7[[#This Row],[Размер отряда норма]]*1.5</f>
        <v>18.75</v>
      </c>
      <c r="M73" s="588">
        <f>Таблица7[[#This Row],[Размер отряда минимум]]*2.5</f>
        <v>25</v>
      </c>
      <c r="N73" s="588"/>
      <c r="O73" s="588"/>
      <c r="P73" s="588"/>
      <c r="Q73" s="588"/>
      <c r="R73" s="48" t="s">
        <v>48</v>
      </c>
      <c r="S73" s="826" t="s">
        <v>2080</v>
      </c>
      <c r="T73" s="48" t="s">
        <v>975</v>
      </c>
      <c r="U73" s="828" t="s">
        <v>2211</v>
      </c>
      <c r="V73" s="947" t="s">
        <v>2127</v>
      </c>
      <c r="W73" s="48" t="s">
        <v>1001</v>
      </c>
      <c r="X73" s="48" t="s">
        <v>2105</v>
      </c>
      <c r="Y73" s="826" t="s">
        <v>2024</v>
      </c>
      <c r="Z73" s="48" t="s">
        <v>1036</v>
      </c>
      <c r="AA73" s="826" t="s">
        <v>1929</v>
      </c>
      <c r="AB73" s="443" t="s">
        <v>944</v>
      </c>
      <c r="AC73" s="826" t="s">
        <v>1923</v>
      </c>
      <c r="AD73" s="171" t="s">
        <v>1004</v>
      </c>
      <c r="AE73" s="828" t="s">
        <v>1952</v>
      </c>
      <c r="AF73" s="48" t="s">
        <v>985</v>
      </c>
      <c r="AG73" s="48"/>
      <c r="AH73" s="48" t="s">
        <v>985</v>
      </c>
      <c r="AI73" s="48"/>
      <c r="AJ73" s="171" t="s">
        <v>985</v>
      </c>
      <c r="AK73" s="171"/>
      <c r="AL73" s="195" t="s">
        <v>1163</v>
      </c>
      <c r="AM73" s="48" t="s">
        <v>935</v>
      </c>
      <c r="AN73" s="48" t="s">
        <v>952</v>
      </c>
      <c r="AO73" s="826" t="s">
        <v>1871</v>
      </c>
      <c r="AP73" s="48" t="s">
        <v>952</v>
      </c>
      <c r="AQ73" s="826" t="s">
        <v>1871</v>
      </c>
      <c r="AS73" s="47">
        <v>1500</v>
      </c>
      <c r="AT73" s="49">
        <v>1565</v>
      </c>
      <c r="AU73" s="405">
        <v>10</v>
      </c>
      <c r="AV73" s="405"/>
      <c r="AW73" s="405">
        <f>VLOOKUP(Таблица7[[#This Row],[Основное оружие]], Оружие[#All], 2, 0)</f>
        <v>2</v>
      </c>
      <c r="AX73" s="405">
        <f>IF(ISBLANK(Таблица7[[#This Row],[Дополнительное оружие]]),"", VLOOKUP(Таблица7[[#This Row],[Дополнительное оружие]], Оружие[#All], 2, 0))</f>
        <v>5</v>
      </c>
      <c r="AY7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7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7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73" s="405">
        <f>VLOOKUP(Таблица7[[#This Row],[Основное оружие]], Оружие[#All], 3, 0)</f>
        <v>10</v>
      </c>
      <c r="BC73" s="405">
        <f>IF(ISBLANK(Таблица7[[#This Row],[Дополнительное оружие]]),"", VLOOKUP(Таблица7[[#This Row],[Дополнительное оружие]], Оружие[#All], 3, 0))</f>
        <v>3</v>
      </c>
      <c r="BD7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7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7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7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7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73" s="405">
        <f>Таблица7[[#This Row],[Броня]]+Таблица7[[#This Row],[Щит]]+Таблица7[[#This Row],[навык защиты]]</f>
        <v>32</v>
      </c>
      <c r="BK73" s="1006"/>
      <c r="BL73" s="1006"/>
      <c r="BM73" s="376"/>
      <c r="BN73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73" s="376">
        <v>1</v>
      </c>
      <c r="BP73" s="376">
        <v>-2</v>
      </c>
      <c r="BQ73" s="376">
        <v>0</v>
      </c>
      <c r="BR73" s="376">
        <v>-4</v>
      </c>
      <c r="BS73" s="376">
        <v>-2</v>
      </c>
      <c r="BT73" s="376">
        <v>11</v>
      </c>
      <c r="BU73" s="972" t="s">
        <v>1840</v>
      </c>
      <c r="BV73" s="972" t="s">
        <v>1844</v>
      </c>
      <c r="BW73" s="376"/>
      <c r="BX73" s="376"/>
      <c r="BY73" s="376"/>
      <c r="BZ73" s="50"/>
    </row>
    <row r="74" spans="1:78" s="47" customFormat="1" ht="40.5" customHeight="1" x14ac:dyDescent="0.25">
      <c r="A74" s="333">
        <v>73</v>
      </c>
      <c r="B74" s="826" t="s">
        <v>2129</v>
      </c>
      <c r="C74" s="826" t="s">
        <v>2128</v>
      </c>
      <c r="D74" s="48" t="s">
        <v>1555</v>
      </c>
      <c r="E74" s="48" t="s">
        <v>1547</v>
      </c>
      <c r="F74" s="48"/>
      <c r="G74" s="48"/>
      <c r="H74" s="48"/>
      <c r="I74" s="645">
        <v>0.5</v>
      </c>
      <c r="J74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74" s="587">
        <f>Таблица7[[#This Row],[Размер отряда минимум]]*1.25</f>
        <v>15</v>
      </c>
      <c r="L74" s="587">
        <f>Таблица7[[#This Row],[Размер отряда норма]]*1.5</f>
        <v>22.5</v>
      </c>
      <c r="M74" s="588">
        <f>Таблица7[[#This Row],[Размер отряда минимум]]*2.5</f>
        <v>30</v>
      </c>
      <c r="N74" s="588"/>
      <c r="O74" s="588"/>
      <c r="P74" s="588"/>
      <c r="Q74" s="588"/>
      <c r="R74" s="48" t="s">
        <v>48</v>
      </c>
      <c r="S74" s="826" t="s">
        <v>2080</v>
      </c>
      <c r="T74" s="48" t="s">
        <v>976</v>
      </c>
      <c r="U74" s="828" t="s">
        <v>2212</v>
      </c>
      <c r="V74" s="827" t="s">
        <v>2130</v>
      </c>
      <c r="W74" s="171" t="s">
        <v>1001</v>
      </c>
      <c r="X74" s="48" t="s">
        <v>1950</v>
      </c>
      <c r="Y74" s="826" t="s">
        <v>1949</v>
      </c>
      <c r="Z74" s="48" t="s">
        <v>1440</v>
      </c>
      <c r="AA74" s="826" t="s">
        <v>2020</v>
      </c>
      <c r="AB74" s="48"/>
      <c r="AC74" s="48"/>
      <c r="AD74" s="171" t="s">
        <v>1005</v>
      </c>
      <c r="AE74" s="171" t="s">
        <v>2031</v>
      </c>
      <c r="AF74" s="48" t="s">
        <v>985</v>
      </c>
      <c r="AG74" s="48"/>
      <c r="AH74" s="48" t="s">
        <v>985</v>
      </c>
      <c r="AI74" s="48"/>
      <c r="AJ74" s="171" t="s">
        <v>985</v>
      </c>
      <c r="AK74" s="171"/>
      <c r="AL74" s="195" t="s">
        <v>985</v>
      </c>
      <c r="AM74" s="48" t="s">
        <v>935</v>
      </c>
      <c r="AN74" s="48" t="s">
        <v>952</v>
      </c>
      <c r="AO74" s="826" t="s">
        <v>1871</v>
      </c>
      <c r="AP74" s="48" t="s">
        <v>952</v>
      </c>
      <c r="AQ74" s="826" t="s">
        <v>1871</v>
      </c>
      <c r="AS74" s="47">
        <v>1565</v>
      </c>
      <c r="AT74" s="49"/>
      <c r="AU74" s="405">
        <v>10</v>
      </c>
      <c r="AV74" s="405" t="s">
        <v>1828</v>
      </c>
      <c r="AW74" s="405">
        <f>VLOOKUP(Таблица7[[#This Row],[Основное оружие]], Оружие[#All], 2, 0)</f>
        <v>0</v>
      </c>
      <c r="AX74" s="405">
        <f>IF(ISBLANK(Таблица7[[#This Row],[Дополнительное оружие]]),"", VLOOKUP(Таблица7[[#This Row],[Дополнительное оружие]], Оружие[#All], 2, 0))</f>
        <v>4</v>
      </c>
      <c r="AY7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7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7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74" s="405">
        <f>VLOOKUP(Таблица7[[#This Row],[Основное оружие]], Оружие[#All], 3, 0)</f>
        <v>1</v>
      </c>
      <c r="BC74" s="405">
        <f>IF(ISBLANK(Таблица7[[#This Row],[Дополнительное оружие]]),"", VLOOKUP(Таблица7[[#This Row],[Дополнительное оружие]], Оружие[#All], 3, 0))</f>
        <v>3</v>
      </c>
      <c r="BD7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7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7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7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7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74" s="405">
        <f>Таблица7[[#This Row],[Броня]]+Таблица7[[#This Row],[Щит]]+Таблица7[[#This Row],[навык защиты]]</f>
        <v>28</v>
      </c>
      <c r="BK74" s="1006"/>
      <c r="BL74" s="1006"/>
      <c r="BM74" s="376"/>
      <c r="BN74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74" s="376">
        <v>1</v>
      </c>
      <c r="BP74" s="376">
        <v>-2</v>
      </c>
      <c r="BQ74" s="376">
        <v>0</v>
      </c>
      <c r="BR74" s="376">
        <v>-4</v>
      </c>
      <c r="BS74" s="376">
        <v>-2</v>
      </c>
      <c r="BT74" s="376">
        <v>11</v>
      </c>
      <c r="BU74" s="972" t="s">
        <v>1840</v>
      </c>
      <c r="BV74" s="972" t="s">
        <v>1844</v>
      </c>
      <c r="BW74" s="376"/>
      <c r="BX74" s="376"/>
      <c r="BY74" s="376"/>
      <c r="BZ74" s="50"/>
    </row>
    <row r="75" spans="1:78" s="47" customFormat="1" ht="40.5" customHeight="1" x14ac:dyDescent="0.25">
      <c r="A75" s="333">
        <v>74</v>
      </c>
      <c r="B75" s="281" t="s">
        <v>1259</v>
      </c>
      <c r="C75" s="835" t="s">
        <v>2131</v>
      </c>
      <c r="D75" s="48" t="s">
        <v>1556</v>
      </c>
      <c r="E75" s="48" t="s">
        <v>1547</v>
      </c>
      <c r="F75" s="48"/>
      <c r="G75" s="48"/>
      <c r="H75" s="48"/>
      <c r="I75" s="645">
        <v>0.9</v>
      </c>
      <c r="J75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72</v>
      </c>
      <c r="K75" s="587">
        <f>Таблица7[[#This Row],[Размер отряда минимум]]*1.25</f>
        <v>90</v>
      </c>
      <c r="L75" s="587">
        <f>Таблица7[[#This Row],[Размер отряда норма]]*1.5</f>
        <v>135</v>
      </c>
      <c r="M75" s="588">
        <f>Таблица7[[#This Row],[Размер отряда минимум]]*2.5</f>
        <v>180</v>
      </c>
      <c r="N75" s="588"/>
      <c r="O75" s="588"/>
      <c r="P75" s="588"/>
      <c r="Q75" s="588"/>
      <c r="R75" s="48" t="s">
        <v>48</v>
      </c>
      <c r="S75" s="826" t="s">
        <v>2080</v>
      </c>
      <c r="T75" s="47" t="s">
        <v>975</v>
      </c>
      <c r="U75" s="828" t="s">
        <v>2213</v>
      </c>
      <c r="V75" s="827" t="s">
        <v>2132</v>
      </c>
      <c r="W75" s="47" t="s">
        <v>993</v>
      </c>
      <c r="X75" s="47" t="s">
        <v>996</v>
      </c>
      <c r="Y75" s="826" t="s">
        <v>1973</v>
      </c>
      <c r="AD75" s="171" t="s">
        <v>1482</v>
      </c>
      <c r="AE75" s="171" t="s">
        <v>1975</v>
      </c>
      <c r="AF75" s="48" t="s">
        <v>1481</v>
      </c>
      <c r="AG75" s="48" t="s">
        <v>1978</v>
      </c>
      <c r="AH75" s="48" t="s">
        <v>985</v>
      </c>
      <c r="AI75" s="48"/>
      <c r="AJ75" s="48" t="s">
        <v>1004</v>
      </c>
      <c r="AK75" s="826" t="s">
        <v>1952</v>
      </c>
      <c r="AL75" s="195" t="s">
        <v>985</v>
      </c>
      <c r="AM75" s="921" t="s">
        <v>935</v>
      </c>
      <c r="AN75" s="868" t="s">
        <v>2383</v>
      </c>
      <c r="AO75" s="826" t="s">
        <v>1983</v>
      </c>
      <c r="AP75" s="47" t="s">
        <v>1133</v>
      </c>
      <c r="AQ75" s="826" t="s">
        <v>2133</v>
      </c>
      <c r="AS75" s="47">
        <v>1500</v>
      </c>
      <c r="AT75" s="49">
        <v>1550</v>
      </c>
      <c r="AU75" s="405">
        <v>9</v>
      </c>
      <c r="AV75" s="405"/>
      <c r="AW75" s="405">
        <f>VLOOKUP(Таблица7[[#This Row],[Основное оружие]], Оружие[#All], 2, 0)</f>
        <v>7</v>
      </c>
      <c r="AX75" s="405" t="str">
        <f>IF(ISBLANK(Таблица7[[#This Row],[Дополнительное оружие]]),"", VLOOKUP(Таблица7[[#This Row],[Дополнительное оружие]], Оружие[#All], 2, 0))</f>
        <v/>
      </c>
      <c r="AY7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7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7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75" s="405">
        <f>VLOOKUP(Таблица7[[#This Row],[Основное оружие]], Оружие[#All], 3, 0)</f>
        <v>3</v>
      </c>
      <c r="BC75" s="405" t="str">
        <f>IF(ISBLANK(Таблица7[[#This Row],[Дополнительное оружие]]),"", VLOOKUP(Таблица7[[#This Row],[Дополнительное оружие]], Оружие[#All], 3, 0))</f>
        <v/>
      </c>
      <c r="BD7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7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7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5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7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7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75" s="405">
        <f>Таблица7[[#This Row],[Броня]]+Таблица7[[#This Row],[Щит]]+Таблица7[[#This Row],[навык защиты]]</f>
        <v>26</v>
      </c>
      <c r="BK75" s="1006"/>
      <c r="BL75" s="1006"/>
      <c r="BM75" s="376"/>
      <c r="BN75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75" s="376">
        <v>1</v>
      </c>
      <c r="BP75" s="376">
        <v>0</v>
      </c>
      <c r="BQ75" s="376">
        <v>0</v>
      </c>
      <c r="BR75" s="376">
        <v>-1</v>
      </c>
      <c r="BS75" s="376">
        <v>0</v>
      </c>
      <c r="BT75" s="689" t="s">
        <v>1832</v>
      </c>
      <c r="BU75" s="972" t="s">
        <v>1840</v>
      </c>
      <c r="BV75" s="972" t="s">
        <v>1844</v>
      </c>
      <c r="BW75" s="376"/>
      <c r="BX75" s="376"/>
      <c r="BY75" s="376"/>
      <c r="BZ75" s="50"/>
    </row>
    <row r="76" spans="1:78" s="47" customFormat="1" ht="40.5" customHeight="1" x14ac:dyDescent="0.25">
      <c r="A76" s="333">
        <v>75</v>
      </c>
      <c r="B76" s="281" t="s">
        <v>1259</v>
      </c>
      <c r="C76" s="826" t="s">
        <v>2131</v>
      </c>
      <c r="D76" s="48" t="s">
        <v>1556</v>
      </c>
      <c r="E76" s="48" t="s">
        <v>1547</v>
      </c>
      <c r="F76" s="48"/>
      <c r="G76" s="48"/>
      <c r="H76" s="48"/>
      <c r="I76" s="645">
        <v>0.9</v>
      </c>
      <c r="J76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76" s="587">
        <f>Таблица7[[#This Row],[Размер отряда минимум]]*1.25</f>
        <v>101.25</v>
      </c>
      <c r="L76" s="587">
        <f>Таблица7[[#This Row],[Размер отряда норма]]*1.5</f>
        <v>151.875</v>
      </c>
      <c r="M76" s="588">
        <f>Таблица7[[#This Row],[Размер отряда минимум]]*2.5</f>
        <v>202.5</v>
      </c>
      <c r="N76" s="588"/>
      <c r="O76" s="588"/>
      <c r="P76" s="588"/>
      <c r="Q76" s="588"/>
      <c r="R76" s="48" t="s">
        <v>48</v>
      </c>
      <c r="S76" s="826" t="s">
        <v>2080</v>
      </c>
      <c r="T76" s="47" t="s">
        <v>976</v>
      </c>
      <c r="U76" s="828" t="s">
        <v>2213</v>
      </c>
      <c r="V76" s="827" t="s">
        <v>2132</v>
      </c>
      <c r="W76" s="47" t="s">
        <v>993</v>
      </c>
      <c r="X76" s="47" t="s">
        <v>996</v>
      </c>
      <c r="Y76" s="826" t="s">
        <v>1973</v>
      </c>
      <c r="AD76" s="171" t="s">
        <v>1482</v>
      </c>
      <c r="AE76" s="171" t="s">
        <v>1975</v>
      </c>
      <c r="AF76" s="48" t="s">
        <v>1481</v>
      </c>
      <c r="AG76" s="48" t="s">
        <v>1978</v>
      </c>
      <c r="AH76" s="48" t="s">
        <v>985</v>
      </c>
      <c r="AI76" s="48"/>
      <c r="AJ76" s="48" t="s">
        <v>1048</v>
      </c>
      <c r="AK76" s="48" t="s">
        <v>2031</v>
      </c>
      <c r="AL76" s="195" t="s">
        <v>985</v>
      </c>
      <c r="AM76" s="921" t="s">
        <v>935</v>
      </c>
      <c r="AN76" s="868" t="s">
        <v>2383</v>
      </c>
      <c r="AO76" s="826" t="s">
        <v>1983</v>
      </c>
      <c r="AP76" s="47" t="s">
        <v>1133</v>
      </c>
      <c r="AQ76" s="826" t="s">
        <v>2133</v>
      </c>
      <c r="AS76" s="47">
        <v>1550</v>
      </c>
      <c r="AT76" s="49"/>
      <c r="AU76" s="405">
        <v>9</v>
      </c>
      <c r="AV76" s="405"/>
      <c r="AW76" s="405">
        <f>VLOOKUP(Таблица7[[#This Row],[Основное оружие]], Оружие[#All], 2, 0)</f>
        <v>7</v>
      </c>
      <c r="AX76" s="405" t="str">
        <f>IF(ISBLANK(Таблица7[[#This Row],[Дополнительное оружие]]),"", VLOOKUP(Таблица7[[#This Row],[Дополнительное оружие]], Оружие[#All], 2, 0))</f>
        <v/>
      </c>
      <c r="AY7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7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7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76" s="405">
        <f>VLOOKUP(Таблица7[[#This Row],[Основное оружие]], Оружие[#All], 3, 0)</f>
        <v>3</v>
      </c>
      <c r="BC76" s="405" t="str">
        <f>IF(ISBLANK(Таблица7[[#This Row],[Дополнительное оружие]]),"", VLOOKUP(Таблица7[[#This Row],[Дополнительное оружие]], Оружие[#All], 3, 0))</f>
        <v/>
      </c>
      <c r="BD7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7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7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6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7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7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76" s="405">
        <f>Таблица7[[#This Row],[Броня]]+Таблица7[[#This Row],[Щит]]+Таблица7[[#This Row],[навык защиты]]</f>
        <v>26</v>
      </c>
      <c r="BK76" s="1006"/>
      <c r="BL76" s="1006"/>
      <c r="BM76" s="376"/>
      <c r="BN76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76" s="376">
        <v>1</v>
      </c>
      <c r="BP76" s="376">
        <v>0</v>
      </c>
      <c r="BQ76" s="376">
        <v>0</v>
      </c>
      <c r="BR76" s="376">
        <v>-1</v>
      </c>
      <c r="BS76" s="376">
        <v>0</v>
      </c>
      <c r="BT76" s="689" t="s">
        <v>1832</v>
      </c>
      <c r="BU76" s="972" t="s">
        <v>1840</v>
      </c>
      <c r="BV76" s="972" t="s">
        <v>1844</v>
      </c>
      <c r="BW76" s="376"/>
      <c r="BX76" s="376"/>
      <c r="BY76" s="376"/>
      <c r="BZ76" s="50"/>
    </row>
    <row r="77" spans="1:78" s="47" customFormat="1" ht="40.5" customHeight="1" x14ac:dyDescent="0.25">
      <c r="A77" s="333">
        <v>76</v>
      </c>
      <c r="B77" s="281" t="s">
        <v>1260</v>
      </c>
      <c r="C77" s="826" t="s">
        <v>2786</v>
      </c>
      <c r="D77" s="443" t="s">
        <v>1548</v>
      </c>
      <c r="E77" s="48" t="s">
        <v>1570</v>
      </c>
      <c r="F77" s="48"/>
      <c r="G77" s="48"/>
      <c r="H77" s="48"/>
      <c r="I77" s="645"/>
      <c r="J77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0</v>
      </c>
      <c r="K77" s="587">
        <f>Таблица7[[#This Row],[Размер отряда минимум]]*1.25</f>
        <v>0</v>
      </c>
      <c r="L77" s="587">
        <f>Таблица7[[#This Row],[Размер отряда норма]]*1.5</f>
        <v>0</v>
      </c>
      <c r="M77" s="588">
        <f>Таблица7[[#This Row],[Размер отряда минимум]]*2.5</f>
        <v>0</v>
      </c>
      <c r="N77" s="588"/>
      <c r="O77" s="588"/>
      <c r="P77" s="588"/>
      <c r="Q77" s="588"/>
      <c r="R77" s="48" t="s">
        <v>48</v>
      </c>
      <c r="S77" s="826" t="s">
        <v>2080</v>
      </c>
      <c r="T77" s="48" t="s">
        <v>1032</v>
      </c>
      <c r="U77" s="828" t="s">
        <v>2214</v>
      </c>
      <c r="V77" s="827" t="s">
        <v>2787</v>
      </c>
      <c r="W77" s="48" t="s">
        <v>1001</v>
      </c>
      <c r="X77" s="826" t="s">
        <v>2136</v>
      </c>
      <c r="Y77" s="826" t="s">
        <v>2785</v>
      </c>
      <c r="Z77" s="48"/>
      <c r="AA77" s="48"/>
      <c r="AB77" s="48"/>
      <c r="AC77" s="48"/>
      <c r="AD77" s="171" t="s">
        <v>985</v>
      </c>
      <c r="AE77" s="171"/>
      <c r="AF77" s="48" t="s">
        <v>1033</v>
      </c>
      <c r="AG77" s="48"/>
      <c r="AH77" s="48" t="s">
        <v>985</v>
      </c>
      <c r="AI77" s="48"/>
      <c r="AJ77" s="171" t="s">
        <v>985</v>
      </c>
      <c r="AK77" s="171"/>
      <c r="AL77" s="195" t="s">
        <v>985</v>
      </c>
      <c r="AM77" s="281" t="s">
        <v>977</v>
      </c>
      <c r="AN77" s="868" t="s">
        <v>1910</v>
      </c>
      <c r="AO77" s="826" t="s">
        <v>1898</v>
      </c>
      <c r="AP77" s="48" t="s">
        <v>1024</v>
      </c>
      <c r="AQ77" s="826" t="s">
        <v>2085</v>
      </c>
      <c r="AS77" s="47">
        <v>1500</v>
      </c>
      <c r="AT77" s="49"/>
      <c r="AU77" s="405">
        <v>1</v>
      </c>
      <c r="AV77" s="405" t="s">
        <v>1827</v>
      </c>
      <c r="AW77" s="405">
        <f>VLOOKUP(Таблица7[[#This Row],[Основное оружие]], Оружие[#All], 2, 0)</f>
        <v>0</v>
      </c>
      <c r="AX77" s="405" t="str">
        <f>IF(ISBLANK(Таблица7[[#This Row],[Дополнительное оружие]]),"", VLOOKUP(Таблица7[[#This Row],[Дополнительное оружие]], Оружие[#All], 2, 0))</f>
        <v/>
      </c>
      <c r="AY7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7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7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77" s="405">
        <f>VLOOKUP(Таблица7[[#This Row],[Основное оружие]], Оружие[#All], 3, 0)</f>
        <v>1</v>
      </c>
      <c r="BC77" s="405" t="str">
        <f>IF(ISBLANK(Таблица7[[#This Row],[Дополнительное оружие]]),"", VLOOKUP(Таблица7[[#This Row],[Дополнительное оружие]], Оружие[#All], 3, 0))</f>
        <v/>
      </c>
      <c r="BD7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7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</v>
      </c>
      <c r="BF7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7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7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77" s="405">
        <f>Таблица7[[#This Row],[Броня]]+Таблица7[[#This Row],[Щит]]+Таблица7[[#This Row],[навык защиты]]</f>
        <v>3</v>
      </c>
      <c r="BK77" s="1008"/>
      <c r="BL77" s="1008"/>
      <c r="BM77" s="376"/>
      <c r="BN77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77" s="376">
        <v>1</v>
      </c>
      <c r="BP77" s="376">
        <v>-1</v>
      </c>
      <c r="BQ77" s="376">
        <v>-2</v>
      </c>
      <c r="BR77" s="376">
        <v>-2</v>
      </c>
      <c r="BS77" s="376">
        <v>-2</v>
      </c>
      <c r="BT77" s="376">
        <v>10</v>
      </c>
      <c r="BU77" s="972" t="s">
        <v>1576</v>
      </c>
      <c r="BV77" s="972" t="s">
        <v>1843</v>
      </c>
      <c r="BW77" s="376"/>
      <c r="BX77" s="376"/>
      <c r="BY77" s="376"/>
      <c r="BZ77" s="50"/>
    </row>
    <row r="78" spans="1:78" s="47" customFormat="1" ht="40.5" customHeight="1" x14ac:dyDescent="0.25">
      <c r="A78" s="333">
        <v>77</v>
      </c>
      <c r="B78" s="826" t="s">
        <v>2138</v>
      </c>
      <c r="C78" s="835" t="s">
        <v>2256</v>
      </c>
      <c r="D78" s="48" t="s">
        <v>1555</v>
      </c>
      <c r="E78" s="48" t="s">
        <v>1547</v>
      </c>
      <c r="F78" s="48"/>
      <c r="G78" s="48"/>
      <c r="H78" s="48"/>
      <c r="I78" s="645">
        <v>0.75</v>
      </c>
      <c r="J78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78" s="587">
        <f>Таблица7[[#This Row],[Размер отряда минимум]]*1.25</f>
        <v>18.75</v>
      </c>
      <c r="L78" s="587">
        <f>Таблица7[[#This Row],[Размер отряда норма]]*1.5</f>
        <v>28.125</v>
      </c>
      <c r="M78" s="588">
        <f>Таблица7[[#This Row],[Размер отряда минимум]]*2.5</f>
        <v>37.5</v>
      </c>
      <c r="N78" s="588"/>
      <c r="O78" s="588"/>
      <c r="P78" s="588"/>
      <c r="Q78" s="588"/>
      <c r="R78" s="48" t="s">
        <v>48</v>
      </c>
      <c r="S78" s="826" t="s">
        <v>2080</v>
      </c>
      <c r="T78" s="48" t="s">
        <v>975</v>
      </c>
      <c r="U78" s="828" t="s">
        <v>2215</v>
      </c>
      <c r="V78" s="827" t="s">
        <v>2140</v>
      </c>
      <c r="W78" s="48" t="s">
        <v>1001</v>
      </c>
      <c r="X78" s="48" t="s">
        <v>2105</v>
      </c>
      <c r="Y78" s="826" t="s">
        <v>2024</v>
      </c>
      <c r="Z78" s="48" t="s">
        <v>1439</v>
      </c>
      <c r="AA78" s="826" t="s">
        <v>2042</v>
      </c>
      <c r="AB78" s="48"/>
      <c r="AC78" s="48"/>
      <c r="AD78" s="171" t="s">
        <v>1002</v>
      </c>
      <c r="AE78" s="828" t="s">
        <v>2025</v>
      </c>
      <c r="AF78" s="51" t="s">
        <v>985</v>
      </c>
      <c r="AG78" s="51"/>
      <c r="AH78" s="51" t="s">
        <v>985</v>
      </c>
      <c r="AI78" s="51"/>
      <c r="AJ78" s="48" t="s">
        <v>1004</v>
      </c>
      <c r="AK78" s="826" t="s">
        <v>1952</v>
      </c>
      <c r="AL78" s="195" t="s">
        <v>1163</v>
      </c>
      <c r="AM78" s="48" t="s">
        <v>977</v>
      </c>
      <c r="AN78" s="826" t="s">
        <v>2142</v>
      </c>
      <c r="AO78" s="826" t="s">
        <v>2145</v>
      </c>
      <c r="AP78" s="48" t="s">
        <v>1030</v>
      </c>
      <c r="AQ78" s="826" t="s">
        <v>2114</v>
      </c>
      <c r="AS78" s="47">
        <v>1500</v>
      </c>
      <c r="AT78" s="49">
        <v>1565</v>
      </c>
      <c r="AU78" s="405">
        <v>7</v>
      </c>
      <c r="AV78" s="405"/>
      <c r="AW78" s="405">
        <f>VLOOKUP(Таблица7[[#This Row],[Основное оружие]], Оружие[#All], 2, 0)</f>
        <v>2</v>
      </c>
      <c r="AX78" s="405">
        <f>IF(ISBLANK(Таблица7[[#This Row],[Дополнительное оружие]]),"", VLOOKUP(Таблица7[[#This Row],[Дополнительное оружие]], Оружие[#All], 2, 0))</f>
        <v>3</v>
      </c>
      <c r="AY7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7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7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78" s="405">
        <f>VLOOKUP(Таблица7[[#This Row],[Основное оружие]], Оружие[#All], 3, 0)</f>
        <v>10</v>
      </c>
      <c r="BC78" s="405">
        <f>IF(ISBLANK(Таблица7[[#This Row],[Дополнительное оружие]]),"", VLOOKUP(Таблица7[[#This Row],[Дополнительное оружие]], Оружие[#All], 3, 0))</f>
        <v>3</v>
      </c>
      <c r="BD7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7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7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7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7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78" s="405">
        <f>Таблица7[[#This Row],[Броня]]+Таблица7[[#This Row],[Щит]]+Таблица7[[#This Row],[навык защиты]]</f>
        <v>24</v>
      </c>
      <c r="BK78" s="1006"/>
      <c r="BL78" s="1006"/>
      <c r="BM78" s="376"/>
      <c r="BN78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78" s="376">
        <v>1</v>
      </c>
      <c r="BP78" s="376">
        <v>-2</v>
      </c>
      <c r="BQ78" s="376">
        <v>0</v>
      </c>
      <c r="BR78" s="376">
        <v>-4</v>
      </c>
      <c r="BS78" s="376">
        <v>-2</v>
      </c>
      <c r="BT78" s="376">
        <v>10</v>
      </c>
      <c r="BU78" s="972" t="s">
        <v>1840</v>
      </c>
      <c r="BV78" s="972" t="s">
        <v>1844</v>
      </c>
      <c r="BW78" s="376"/>
      <c r="BX78" s="376"/>
      <c r="BY78" s="376"/>
      <c r="BZ78" s="50"/>
    </row>
    <row r="79" spans="1:78" s="47" customFormat="1" ht="40.5" customHeight="1" x14ac:dyDescent="0.25">
      <c r="A79" s="333">
        <v>78</v>
      </c>
      <c r="B79" s="826" t="s">
        <v>2139</v>
      </c>
      <c r="C79" s="835" t="s">
        <v>2257</v>
      </c>
      <c r="D79" s="48" t="s">
        <v>1555</v>
      </c>
      <c r="E79" s="48" t="s">
        <v>1547</v>
      </c>
      <c r="F79" s="48"/>
      <c r="G79" s="48"/>
      <c r="H79" s="48"/>
      <c r="I79" s="645">
        <v>0.75</v>
      </c>
      <c r="J79" s="58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79" s="587">
        <f>Таблица7[[#This Row],[Размер отряда минимум]]*1.25</f>
        <v>22.5</v>
      </c>
      <c r="L79" s="587">
        <f>Таблица7[[#This Row],[Размер отряда норма]]*1.5</f>
        <v>33.75</v>
      </c>
      <c r="M79" s="588">
        <f>Таблица7[[#This Row],[Размер отряда минимум]]*2.5</f>
        <v>45</v>
      </c>
      <c r="N79" s="588"/>
      <c r="O79" s="588"/>
      <c r="P79" s="588"/>
      <c r="Q79" s="588"/>
      <c r="R79" s="48" t="s">
        <v>48</v>
      </c>
      <c r="S79" s="826" t="s">
        <v>2080</v>
      </c>
      <c r="T79" s="48" t="s">
        <v>976</v>
      </c>
      <c r="U79" s="828" t="s">
        <v>2216</v>
      </c>
      <c r="V79" s="827" t="s">
        <v>2141</v>
      </c>
      <c r="W79" s="171" t="s">
        <v>1001</v>
      </c>
      <c r="X79" s="767" t="s">
        <v>1950</v>
      </c>
      <c r="Y79" s="826" t="s">
        <v>1949</v>
      </c>
      <c r="Z79" s="47" t="s">
        <v>1440</v>
      </c>
      <c r="AA79" s="826" t="s">
        <v>2020</v>
      </c>
      <c r="AD79" s="171" t="s">
        <v>1481</v>
      </c>
      <c r="AE79" s="171" t="s">
        <v>1978</v>
      </c>
      <c r="AF79" s="51" t="s">
        <v>985</v>
      </c>
      <c r="AG79" s="51"/>
      <c r="AH79" s="51" t="s">
        <v>985</v>
      </c>
      <c r="AI79" s="51"/>
      <c r="AJ79" s="171" t="s">
        <v>1005</v>
      </c>
      <c r="AK79" s="48" t="s">
        <v>2031</v>
      </c>
      <c r="AL79" s="195" t="s">
        <v>985</v>
      </c>
      <c r="AM79" s="48" t="s">
        <v>977</v>
      </c>
      <c r="AN79" s="826" t="s">
        <v>2143</v>
      </c>
      <c r="AO79" s="826" t="s">
        <v>2144</v>
      </c>
      <c r="AP79" s="48" t="s">
        <v>1034</v>
      </c>
      <c r="AQ79" s="826" t="s">
        <v>2137</v>
      </c>
      <c r="AS79" s="47">
        <v>1565</v>
      </c>
      <c r="AT79" s="49"/>
      <c r="AU79" s="405">
        <v>7</v>
      </c>
      <c r="AV79" s="405" t="s">
        <v>1827</v>
      </c>
      <c r="AW79" s="405">
        <f>VLOOKUP(Таблица7[[#This Row],[Основное оружие]], Оружие[#All], 2, 0)</f>
        <v>0</v>
      </c>
      <c r="AX79" s="405">
        <f>IF(ISBLANK(Таблица7[[#This Row],[Дополнительное оружие]]),"", VLOOKUP(Таблица7[[#This Row],[Дополнительное оружие]], Оружие[#All], 2, 0))</f>
        <v>4</v>
      </c>
      <c r="AY7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7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7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79" s="405">
        <f>VLOOKUP(Таблица7[[#This Row],[Основное оружие]], Оружие[#All], 3, 0)</f>
        <v>1</v>
      </c>
      <c r="BC79" s="405">
        <f>IF(ISBLANK(Таблица7[[#This Row],[Дополнительное оружие]]),"", VLOOKUP(Таблица7[[#This Row],[Дополнительное оружие]], Оружие[#All], 3, 0))</f>
        <v>3</v>
      </c>
      <c r="BD7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7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7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79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7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7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79" s="405">
        <f>Таблица7[[#This Row],[Броня]]+Таблица7[[#This Row],[Щит]]+Таблица7[[#This Row],[навык защиты]]</f>
        <v>21</v>
      </c>
      <c r="BK79" s="1006"/>
      <c r="BL79" s="1006"/>
      <c r="BM79" s="376"/>
      <c r="BN79" s="97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79" s="376">
        <v>1</v>
      </c>
      <c r="BP79" s="376">
        <v>-2</v>
      </c>
      <c r="BQ79" s="376">
        <v>0</v>
      </c>
      <c r="BR79" s="376">
        <v>-4</v>
      </c>
      <c r="BS79" s="376">
        <v>-2</v>
      </c>
      <c r="BT79" s="376">
        <v>10</v>
      </c>
      <c r="BU79" s="972" t="s">
        <v>1840</v>
      </c>
      <c r="BV79" s="972" t="s">
        <v>1844</v>
      </c>
      <c r="BW79" s="376"/>
      <c r="BX79" s="376"/>
      <c r="BY79" s="376"/>
      <c r="BZ79" s="50"/>
    </row>
    <row r="80" spans="1:78" s="52" customFormat="1" ht="40.5" customHeight="1" x14ac:dyDescent="0.25">
      <c r="A80" s="333">
        <v>79</v>
      </c>
      <c r="B80" s="553" t="s">
        <v>1674</v>
      </c>
      <c r="C80" s="830" t="s">
        <v>2152</v>
      </c>
      <c r="D80" s="53" t="s">
        <v>1556</v>
      </c>
      <c r="E80" s="53" t="s">
        <v>1546</v>
      </c>
      <c r="F80" s="53"/>
      <c r="G80" s="53"/>
      <c r="H80" s="53"/>
      <c r="I80" s="646">
        <v>0.75</v>
      </c>
      <c r="J80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80" s="589">
        <f>Таблица7[[#This Row],[Размер отряда минимум]]*1.25</f>
        <v>84.375</v>
      </c>
      <c r="L80" s="589">
        <f>Таблица7[[#This Row],[Размер отряда норма]]*1.5</f>
        <v>126.5625</v>
      </c>
      <c r="M80" s="590">
        <f>Таблица7[[#This Row],[Размер отряда минимум]]*2.5</f>
        <v>168.75</v>
      </c>
      <c r="N80" s="590"/>
      <c r="O80" s="590"/>
      <c r="P80" s="590"/>
      <c r="Q80" s="590"/>
      <c r="R80" s="53" t="s">
        <v>4</v>
      </c>
      <c r="S80" s="830" t="s">
        <v>2153</v>
      </c>
      <c r="T80" s="53" t="s">
        <v>975</v>
      </c>
      <c r="U80" s="875" t="s">
        <v>2368</v>
      </c>
      <c r="V80" s="916" t="s">
        <v>2698</v>
      </c>
      <c r="W80" s="53" t="s">
        <v>984</v>
      </c>
      <c r="X80" s="53" t="s">
        <v>1020</v>
      </c>
      <c r="Y80" s="830" t="s">
        <v>1916</v>
      </c>
      <c r="Z80" s="53"/>
      <c r="AA80" s="53"/>
      <c r="AB80" s="53"/>
      <c r="AC80" s="53"/>
      <c r="AD80" s="172" t="s">
        <v>985</v>
      </c>
      <c r="AE80" s="172"/>
      <c r="AF80" s="53" t="s">
        <v>985</v>
      </c>
      <c r="AG80" s="53"/>
      <c r="AH80" s="53" t="s">
        <v>985</v>
      </c>
      <c r="AI80" s="53"/>
      <c r="AJ80" s="172" t="s">
        <v>985</v>
      </c>
      <c r="AK80" s="172"/>
      <c r="AL80" s="196" t="s">
        <v>985</v>
      </c>
      <c r="AM80" s="53" t="s">
        <v>935</v>
      </c>
      <c r="AN80" s="876" t="s">
        <v>1906</v>
      </c>
      <c r="AO80" s="830" t="s">
        <v>1905</v>
      </c>
      <c r="AP80" s="53" t="s">
        <v>952</v>
      </c>
      <c r="AQ80" s="830" t="s">
        <v>1871</v>
      </c>
      <c r="AR80" s="53"/>
      <c r="AS80" s="52">
        <v>1500</v>
      </c>
      <c r="AT80" s="54">
        <v>1550</v>
      </c>
      <c r="AU80" s="405">
        <v>4</v>
      </c>
      <c r="AV80" s="405"/>
      <c r="AW80" s="405">
        <f>VLOOKUP(Таблица7[[#This Row],[Основное оружие]], Оружие[#All], 2, 0)</f>
        <v>2</v>
      </c>
      <c r="AX80" s="405" t="str">
        <f>IF(ISBLANK(Таблица7[[#This Row],[Дополнительное оружие]]),"", VLOOKUP(Таблица7[[#This Row],[Дополнительное оружие]], Оружие[#All], 2, 0))</f>
        <v/>
      </c>
      <c r="AY8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8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8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80" s="405">
        <f>VLOOKUP(Таблица7[[#This Row],[Основное оружие]], Оружие[#All], 3, 0)</f>
        <v>3</v>
      </c>
      <c r="BC80" s="405" t="str">
        <f>IF(ISBLANK(Таблица7[[#This Row],[Дополнительное оружие]]),"", VLOOKUP(Таблица7[[#This Row],[Дополнительное оружие]], Оружие[#All], 3, 0))</f>
        <v/>
      </c>
      <c r="BD8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8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8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8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8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8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80" s="405">
        <f>Таблица7[[#This Row],[Броня]]+Таблица7[[#This Row],[Щит]]+Таблица7[[#This Row],[навык защиты]]</f>
        <v>6</v>
      </c>
      <c r="BK80" s="1006"/>
      <c r="BL80" s="1006"/>
      <c r="BM80" s="377"/>
      <c r="BN80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80" s="377">
        <v>1</v>
      </c>
      <c r="BP80" s="377">
        <v>1</v>
      </c>
      <c r="BQ80" s="377">
        <v>0</v>
      </c>
      <c r="BR80" s="377">
        <v>2</v>
      </c>
      <c r="BS80" s="377">
        <v>0</v>
      </c>
      <c r="BT80" s="377">
        <v>4</v>
      </c>
      <c r="BU80" s="973" t="s">
        <v>1839</v>
      </c>
      <c r="BV80" s="973" t="s">
        <v>1842</v>
      </c>
      <c r="BW80" s="377"/>
      <c r="BX80" s="377"/>
      <c r="BY80" s="377"/>
      <c r="BZ80" s="55"/>
    </row>
    <row r="81" spans="1:78" s="52" customFormat="1" ht="40.5" customHeight="1" x14ac:dyDescent="0.25">
      <c r="A81" s="333">
        <v>80</v>
      </c>
      <c r="B81" s="553" t="s">
        <v>1675</v>
      </c>
      <c r="C81" s="830" t="s">
        <v>2154</v>
      </c>
      <c r="D81" s="53" t="s">
        <v>1556</v>
      </c>
      <c r="E81" s="53" t="s">
        <v>1546</v>
      </c>
      <c r="F81" s="53"/>
      <c r="G81" s="53"/>
      <c r="H81" s="53"/>
      <c r="I81" s="646">
        <v>0.75</v>
      </c>
      <c r="J81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81" s="589">
        <f>Таблица7[[#This Row],[Размер отряда минимум]]*1.25</f>
        <v>93.75</v>
      </c>
      <c r="L81" s="589">
        <f>Таблица7[[#This Row],[Размер отряда норма]]*1.5</f>
        <v>140.625</v>
      </c>
      <c r="M81" s="590">
        <f>Таблица7[[#This Row],[Размер отряда минимум]]*2.5</f>
        <v>187.5</v>
      </c>
      <c r="N81" s="590"/>
      <c r="O81" s="590"/>
      <c r="P81" s="590"/>
      <c r="Q81" s="590"/>
      <c r="R81" s="53" t="s">
        <v>4</v>
      </c>
      <c r="S81" s="830" t="s">
        <v>2153</v>
      </c>
      <c r="T81" s="53" t="s">
        <v>976</v>
      </c>
      <c r="U81" s="875" t="s">
        <v>2369</v>
      </c>
      <c r="V81" s="831" t="s">
        <v>2155</v>
      </c>
      <c r="W81" s="53" t="s">
        <v>984</v>
      </c>
      <c r="X81" s="53" t="s">
        <v>1036</v>
      </c>
      <c r="Y81" s="830" t="s">
        <v>1929</v>
      </c>
      <c r="Z81" s="53"/>
      <c r="AA81" s="53"/>
      <c r="AB81" s="53"/>
      <c r="AC81" s="53"/>
      <c r="AD81" s="172" t="s">
        <v>985</v>
      </c>
      <c r="AE81" s="172"/>
      <c r="AF81" s="53" t="s">
        <v>991</v>
      </c>
      <c r="AG81" s="830" t="s">
        <v>1951</v>
      </c>
      <c r="AH81" s="53" t="s">
        <v>985</v>
      </c>
      <c r="AI81" s="53"/>
      <c r="AJ81" s="172" t="s">
        <v>985</v>
      </c>
      <c r="AK81" s="172"/>
      <c r="AL81" s="196" t="s">
        <v>985</v>
      </c>
      <c r="AM81" s="53" t="s">
        <v>935</v>
      </c>
      <c r="AN81" s="876" t="s">
        <v>1906</v>
      </c>
      <c r="AO81" s="830" t="s">
        <v>1905</v>
      </c>
      <c r="AP81" s="53" t="s">
        <v>952</v>
      </c>
      <c r="AQ81" s="830" t="s">
        <v>1871</v>
      </c>
      <c r="AS81" s="52">
        <v>1550</v>
      </c>
      <c r="AT81" s="54"/>
      <c r="AU81" s="405">
        <v>2</v>
      </c>
      <c r="AV81" s="405"/>
      <c r="AW81" s="405">
        <f>VLOOKUP(Таблица7[[#This Row],[Основное оружие]], Оружие[#All], 2, 0)</f>
        <v>5</v>
      </c>
      <c r="AX81" s="405" t="str">
        <f>IF(ISBLANK(Таблица7[[#This Row],[Дополнительное оружие]]),"", VLOOKUP(Таблица7[[#This Row],[Дополнительное оружие]], Оружие[#All], 2, 0))</f>
        <v/>
      </c>
      <c r="AY8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8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8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81" s="405">
        <f>VLOOKUP(Таблица7[[#This Row],[Основное оружие]], Оружие[#All], 3, 0)</f>
        <v>3</v>
      </c>
      <c r="BC81" s="405" t="str">
        <f>IF(ISBLANK(Таблица7[[#This Row],[Дополнительное оружие]]),"", VLOOKUP(Таблица7[[#This Row],[Дополнительное оружие]], Оружие[#All], 3, 0))</f>
        <v/>
      </c>
      <c r="BD8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8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8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8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8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8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81" s="405">
        <f>Таблица7[[#This Row],[Броня]]+Таблица7[[#This Row],[Щит]]+Таблица7[[#This Row],[навык защиты]]</f>
        <v>4</v>
      </c>
      <c r="BK81" s="1006"/>
      <c r="BL81" s="1006"/>
      <c r="BM81" s="377"/>
      <c r="BN81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81" s="377">
        <v>1</v>
      </c>
      <c r="BP81" s="377">
        <v>1</v>
      </c>
      <c r="BQ81" s="377">
        <v>0</v>
      </c>
      <c r="BR81" s="377">
        <v>2</v>
      </c>
      <c r="BS81" s="377">
        <v>0</v>
      </c>
      <c r="BT81" s="377">
        <v>3</v>
      </c>
      <c r="BU81" s="973" t="s">
        <v>1839</v>
      </c>
      <c r="BV81" s="973" t="s">
        <v>1842</v>
      </c>
      <c r="BW81" s="377"/>
      <c r="BX81" s="377"/>
      <c r="BY81" s="377"/>
      <c r="BZ81" s="55"/>
    </row>
    <row r="82" spans="1:78" s="52" customFormat="1" ht="40.5" customHeight="1" x14ac:dyDescent="0.25">
      <c r="A82" s="333">
        <v>81</v>
      </c>
      <c r="B82" s="553" t="s">
        <v>1676</v>
      </c>
      <c r="C82" s="830" t="s">
        <v>2156</v>
      </c>
      <c r="D82" s="53" t="s">
        <v>1556</v>
      </c>
      <c r="E82" s="53" t="s">
        <v>1561</v>
      </c>
      <c r="F82" s="53"/>
      <c r="G82" s="53"/>
      <c r="H82" s="53"/>
      <c r="I82" s="646">
        <v>0.75</v>
      </c>
      <c r="J82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82" s="589">
        <f>Таблица7[[#This Row],[Размер отряда минимум]]*1.25</f>
        <v>93.75</v>
      </c>
      <c r="L82" s="589">
        <f>Таблица7[[#This Row],[Размер отряда норма]]*1.5</f>
        <v>140.625</v>
      </c>
      <c r="M82" s="590">
        <f>Таблица7[[#This Row],[Размер отряда минимум]]*2.5</f>
        <v>187.5</v>
      </c>
      <c r="N82" s="590"/>
      <c r="O82" s="590"/>
      <c r="P82" s="590"/>
      <c r="Q82" s="590"/>
      <c r="R82" s="53" t="s">
        <v>4</v>
      </c>
      <c r="S82" s="830" t="s">
        <v>2153</v>
      </c>
      <c r="T82" s="53" t="s">
        <v>976</v>
      </c>
      <c r="U82" s="829" t="s">
        <v>1728</v>
      </c>
      <c r="V82" s="831" t="s">
        <v>2157</v>
      </c>
      <c r="W82" s="53" t="s">
        <v>993</v>
      </c>
      <c r="X82" s="53" t="s">
        <v>994</v>
      </c>
      <c r="Y82" s="830" t="s">
        <v>1932</v>
      </c>
      <c r="Z82" s="53"/>
      <c r="AA82" s="830"/>
      <c r="AB82" s="53"/>
      <c r="AC82" s="53"/>
      <c r="AD82" s="789" t="s">
        <v>1158</v>
      </c>
      <c r="AE82" s="789" t="s">
        <v>1962</v>
      </c>
      <c r="AF82" s="159" t="s">
        <v>1211</v>
      </c>
      <c r="AG82" s="159" t="s">
        <v>1963</v>
      </c>
      <c r="AH82" s="53" t="s">
        <v>985</v>
      </c>
      <c r="AI82" s="53"/>
      <c r="AJ82" s="172" t="s">
        <v>985</v>
      </c>
      <c r="AK82" s="172"/>
      <c r="AL82" s="196" t="s">
        <v>985</v>
      </c>
      <c r="AM82" s="53" t="s">
        <v>978</v>
      </c>
      <c r="AN82" s="876" t="s">
        <v>992</v>
      </c>
      <c r="AO82" s="830" t="s">
        <v>1904</v>
      </c>
      <c r="AP82" s="53" t="s">
        <v>1038</v>
      </c>
      <c r="AQ82" s="830" t="s">
        <v>2158</v>
      </c>
      <c r="AS82" s="52">
        <v>1550</v>
      </c>
      <c r="AT82" s="54"/>
      <c r="AU82" s="444">
        <v>3</v>
      </c>
      <c r="AV82" s="405"/>
      <c r="AW82" s="405">
        <f>VLOOKUP(Таблица7[[#This Row],[Основное оружие]], Оружие[#All], 2, 0)</f>
        <v>1</v>
      </c>
      <c r="AX82" s="405" t="str">
        <f>IF(ISBLANK(Таблица7[[#This Row],[Дополнительное оружие]]),"", VLOOKUP(Таблица7[[#This Row],[Дополнительное оружие]], Оружие[#All], 2, 0))</f>
        <v/>
      </c>
      <c r="AY8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</v>
      </c>
      <c r="AZ8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2</v>
      </c>
      <c r="BA82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82" s="405">
        <f>VLOOKUP(Таблица7[[#This Row],[Основное оружие]], Оружие[#All], 3, 0)</f>
        <v>1</v>
      </c>
      <c r="BC82" s="405" t="str">
        <f>IF(ISBLANK(Таблица7[[#This Row],[Дополнительное оружие]]),"", VLOOKUP(Таблица7[[#This Row],[Дополнительное оружие]], Оружие[#All], 3, 0))</f>
        <v/>
      </c>
      <c r="BD8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8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8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8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8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8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82" s="405">
        <f>Таблица7[[#This Row],[Броня]]+Таблица7[[#This Row],[Щит]]+Таблица7[[#This Row],[навык защиты]]</f>
        <v>14</v>
      </c>
      <c r="BK82" s="1006"/>
      <c r="BL82" s="1006"/>
      <c r="BM82" s="377"/>
      <c r="BN82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82" s="377">
        <v>1</v>
      </c>
      <c r="BP82" s="377">
        <v>-1</v>
      </c>
      <c r="BQ82" s="377">
        <v>0</v>
      </c>
      <c r="BR82" s="377">
        <v>-2</v>
      </c>
      <c r="BS82" s="377">
        <v>0</v>
      </c>
      <c r="BT82" s="377">
        <v>7</v>
      </c>
      <c r="BU82" s="973" t="s">
        <v>1839</v>
      </c>
      <c r="BV82" s="973" t="s">
        <v>1843</v>
      </c>
      <c r="BW82" s="377"/>
      <c r="BX82" s="377"/>
      <c r="BY82" s="377"/>
      <c r="BZ82" s="55"/>
    </row>
    <row r="83" spans="1:78" s="52" customFormat="1" ht="40.5" customHeight="1" x14ac:dyDescent="0.25">
      <c r="A83" s="333">
        <v>82</v>
      </c>
      <c r="B83" s="553" t="s">
        <v>1677</v>
      </c>
      <c r="C83" s="836" t="s">
        <v>2258</v>
      </c>
      <c r="D83" s="53" t="s">
        <v>1556</v>
      </c>
      <c r="E83" s="53" t="s">
        <v>1547</v>
      </c>
      <c r="F83" s="53"/>
      <c r="G83" s="53"/>
      <c r="H83" s="53"/>
      <c r="I83" s="646">
        <v>0.5</v>
      </c>
      <c r="J83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83" s="589">
        <f>Таблица7[[#This Row],[Размер отряда минимум]]*1.25</f>
        <v>50</v>
      </c>
      <c r="L83" s="589">
        <f>Таблица7[[#This Row],[Размер отряда норма]]*1.5</f>
        <v>75</v>
      </c>
      <c r="M83" s="590">
        <f>Таблица7[[#This Row],[Размер отряда минимум]]*2.5</f>
        <v>100</v>
      </c>
      <c r="N83" s="590"/>
      <c r="O83" s="590"/>
      <c r="P83" s="590"/>
      <c r="Q83" s="590"/>
      <c r="R83" s="53" t="s">
        <v>4</v>
      </c>
      <c r="S83" s="830" t="s">
        <v>2153</v>
      </c>
      <c r="T83" s="53" t="s">
        <v>975</v>
      </c>
      <c r="U83" s="829" t="s">
        <v>1729</v>
      </c>
      <c r="V83" s="831" t="s">
        <v>2217</v>
      </c>
      <c r="W83" s="53" t="s">
        <v>1001</v>
      </c>
      <c r="X83" s="53" t="s">
        <v>1686</v>
      </c>
      <c r="Y83" s="53" t="s">
        <v>2095</v>
      </c>
      <c r="Z83" s="53" t="s">
        <v>1036</v>
      </c>
      <c r="AA83" s="830" t="s">
        <v>1929</v>
      </c>
      <c r="AB83" s="53" t="s">
        <v>1596</v>
      </c>
      <c r="AC83" s="53" t="s">
        <v>1921</v>
      </c>
      <c r="AD83" s="172" t="s">
        <v>1482</v>
      </c>
      <c r="AE83" s="172" t="s">
        <v>1975</v>
      </c>
      <c r="AF83" s="53" t="s">
        <v>1481</v>
      </c>
      <c r="AG83" s="53" t="s">
        <v>1978</v>
      </c>
      <c r="AH83" s="53" t="s">
        <v>985</v>
      </c>
      <c r="AI83" s="53"/>
      <c r="AJ83" s="410" t="s">
        <v>1004</v>
      </c>
      <c r="AK83" s="830" t="s">
        <v>1952</v>
      </c>
      <c r="AL83" s="196" t="s">
        <v>985</v>
      </c>
      <c r="AM83" s="53" t="s">
        <v>977</v>
      </c>
      <c r="AN83" s="876" t="s">
        <v>2380</v>
      </c>
      <c r="AO83" s="830" t="s">
        <v>2063</v>
      </c>
      <c r="AP83" s="53" t="s">
        <v>1038</v>
      </c>
      <c r="AQ83" s="830" t="s">
        <v>2158</v>
      </c>
      <c r="AS83" s="52">
        <v>1500</v>
      </c>
      <c r="AT83" s="54">
        <v>1550</v>
      </c>
      <c r="AU83" s="405">
        <v>8</v>
      </c>
      <c r="AV83" s="405" t="s">
        <v>1827</v>
      </c>
      <c r="AW83" s="405">
        <f>VLOOKUP(Таблица7[[#This Row],[Основное оружие]], Оружие[#All], 2, 0)</f>
        <v>0</v>
      </c>
      <c r="AX83" s="405">
        <f>IF(ISBLANK(Таблица7[[#This Row],[Дополнительное оружие]]),"", VLOOKUP(Таблица7[[#This Row],[Дополнительное оружие]], Оружие[#All], 2, 0))</f>
        <v>5</v>
      </c>
      <c r="AY8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8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8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83" s="405">
        <f>VLOOKUP(Таблица7[[#This Row],[Основное оружие]], Оружие[#All], 3, 0)</f>
        <v>1</v>
      </c>
      <c r="BC83" s="405">
        <f>IF(ISBLANK(Таблица7[[#This Row],[Дополнительное оружие]]),"", VLOOKUP(Таблица7[[#This Row],[Дополнительное оружие]], Оружие[#All], 3, 0))</f>
        <v>3</v>
      </c>
      <c r="BD8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8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8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8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8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8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10</v>
      </c>
      <c r="BJ83" s="405">
        <f>Таблица7[[#This Row],[Броня]]+Таблица7[[#This Row],[Щит]]+Таблица7[[#This Row],[навык защиты]]</f>
        <v>35</v>
      </c>
      <c r="BK83" s="1006"/>
      <c r="BL83" s="1006"/>
      <c r="BM83" s="377"/>
      <c r="BN83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83" s="377">
        <v>1</v>
      </c>
      <c r="BP83" s="377">
        <v>1</v>
      </c>
      <c r="BQ83" s="377">
        <v>0</v>
      </c>
      <c r="BR83" s="377">
        <v>2</v>
      </c>
      <c r="BS83" s="377">
        <v>0</v>
      </c>
      <c r="BT83" s="377">
        <v>11</v>
      </c>
      <c r="BU83" s="973" t="s">
        <v>1839</v>
      </c>
      <c r="BV83" s="973" t="s">
        <v>1843</v>
      </c>
      <c r="BW83" s="377"/>
      <c r="BX83" s="377"/>
      <c r="BY83" s="377"/>
      <c r="BZ83" s="55"/>
    </row>
    <row r="84" spans="1:78" s="52" customFormat="1" ht="40.5" customHeight="1" x14ac:dyDescent="0.25">
      <c r="A84" s="333">
        <v>83</v>
      </c>
      <c r="B84" s="553" t="s">
        <v>1677</v>
      </c>
      <c r="C84" s="836" t="s">
        <v>2258</v>
      </c>
      <c r="D84" s="53" t="s">
        <v>1556</v>
      </c>
      <c r="E84" s="53" t="s">
        <v>1547</v>
      </c>
      <c r="F84" s="53"/>
      <c r="G84" s="53"/>
      <c r="H84" s="53"/>
      <c r="I84" s="646">
        <v>0.5</v>
      </c>
      <c r="J84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45</v>
      </c>
      <c r="K84" s="589">
        <f>Таблица7[[#This Row],[Размер отряда минимум]]*1.25</f>
        <v>56.25</v>
      </c>
      <c r="L84" s="589">
        <f>Таблица7[[#This Row],[Размер отряда норма]]*1.5</f>
        <v>84.375</v>
      </c>
      <c r="M84" s="590">
        <f>Таблица7[[#This Row],[Размер отряда минимум]]*2.5</f>
        <v>112.5</v>
      </c>
      <c r="N84" s="590"/>
      <c r="O84" s="590"/>
      <c r="P84" s="590"/>
      <c r="Q84" s="590"/>
      <c r="R84" s="53" t="s">
        <v>4</v>
      </c>
      <c r="S84" s="830" t="s">
        <v>2153</v>
      </c>
      <c r="T84" s="53" t="s">
        <v>976</v>
      </c>
      <c r="U84" s="729" t="s">
        <v>1729</v>
      </c>
      <c r="V84" s="831" t="s">
        <v>2217</v>
      </c>
      <c r="W84" s="53" t="s">
        <v>1001</v>
      </c>
      <c r="X84" s="53" t="s">
        <v>1691</v>
      </c>
      <c r="Y84" s="53" t="s">
        <v>2094</v>
      </c>
      <c r="Z84" s="53" t="s">
        <v>1440</v>
      </c>
      <c r="AA84" s="830" t="s">
        <v>2020</v>
      </c>
      <c r="AB84" s="53" t="s">
        <v>1596</v>
      </c>
      <c r="AC84" s="53" t="s">
        <v>1921</v>
      </c>
      <c r="AD84" s="172" t="s">
        <v>1482</v>
      </c>
      <c r="AE84" s="172" t="s">
        <v>1975</v>
      </c>
      <c r="AF84" s="53" t="s">
        <v>1481</v>
      </c>
      <c r="AG84" s="53" t="s">
        <v>1978</v>
      </c>
      <c r="AH84" s="53" t="s">
        <v>985</v>
      </c>
      <c r="AI84" s="53"/>
      <c r="AJ84" s="53" t="s">
        <v>1048</v>
      </c>
      <c r="AK84" s="830" t="s">
        <v>2031</v>
      </c>
      <c r="AL84" s="196" t="s">
        <v>985</v>
      </c>
      <c r="AM84" s="53" t="s">
        <v>977</v>
      </c>
      <c r="AN84" s="876" t="s">
        <v>2380</v>
      </c>
      <c r="AO84" s="830" t="s">
        <v>2063</v>
      </c>
      <c r="AP84" s="53" t="s">
        <v>1038</v>
      </c>
      <c r="AQ84" s="830" t="s">
        <v>2158</v>
      </c>
      <c r="AS84" s="52">
        <v>1550</v>
      </c>
      <c r="AT84" s="54"/>
      <c r="AU84" s="405">
        <v>8</v>
      </c>
      <c r="AV84" s="405" t="s">
        <v>1827</v>
      </c>
      <c r="AW84" s="405">
        <f>VLOOKUP(Таблица7[[#This Row],[Основное оружие]], Оружие[#All], 2, 0)</f>
        <v>0</v>
      </c>
      <c r="AX84" s="405">
        <f>IF(ISBLANK(Таблица7[[#This Row],[Дополнительное оружие]]),"", VLOOKUP(Таблица7[[#This Row],[Дополнительное оружие]], Оружие[#All], 2, 0))</f>
        <v>4</v>
      </c>
      <c r="AY8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8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8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84" s="405">
        <f>VLOOKUP(Таблица7[[#This Row],[Основное оружие]], Оружие[#All], 3, 0)</f>
        <v>1</v>
      </c>
      <c r="BC84" s="405">
        <f>IF(ISBLANK(Таблица7[[#This Row],[Дополнительное оружие]]),"", VLOOKUP(Таблица7[[#This Row],[Дополнительное оружие]], Оружие[#All], 3, 0))</f>
        <v>3</v>
      </c>
      <c r="BD8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8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8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8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8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8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10</v>
      </c>
      <c r="BJ84" s="405">
        <f>Таблица7[[#This Row],[Броня]]+Таблица7[[#This Row],[Щит]]+Таблица7[[#This Row],[навык защиты]]</f>
        <v>35</v>
      </c>
      <c r="BK84" s="1006"/>
      <c r="BL84" s="1006"/>
      <c r="BM84" s="377"/>
      <c r="BN84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84" s="377">
        <v>1</v>
      </c>
      <c r="BP84" s="377">
        <v>1</v>
      </c>
      <c r="BQ84" s="377">
        <v>0</v>
      </c>
      <c r="BR84" s="377">
        <v>2</v>
      </c>
      <c r="BS84" s="377">
        <v>0</v>
      </c>
      <c r="BT84" s="377">
        <v>11</v>
      </c>
      <c r="BU84" s="973" t="s">
        <v>1839</v>
      </c>
      <c r="BV84" s="973" t="s">
        <v>1843</v>
      </c>
      <c r="BW84" s="377"/>
      <c r="BX84" s="377"/>
      <c r="BY84" s="377"/>
      <c r="BZ84" s="55"/>
    </row>
    <row r="85" spans="1:78" s="52" customFormat="1" ht="40.5" customHeight="1" x14ac:dyDescent="0.25">
      <c r="A85" s="333">
        <v>84</v>
      </c>
      <c r="B85" s="553" t="s">
        <v>1681</v>
      </c>
      <c r="C85" s="830" t="s">
        <v>2221</v>
      </c>
      <c r="D85" s="53" t="s">
        <v>1556</v>
      </c>
      <c r="E85" s="53" t="s">
        <v>1571</v>
      </c>
      <c r="F85" s="53"/>
      <c r="G85" s="53"/>
      <c r="H85" s="53"/>
      <c r="I85" s="646">
        <v>0.75</v>
      </c>
      <c r="J85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85" s="589">
        <f>Таблица7[[#This Row],[Размер отряда минимум]]*1.25</f>
        <v>84.375</v>
      </c>
      <c r="L85" s="589">
        <f>Таблица7[[#This Row],[Размер отряда норма]]*1.5</f>
        <v>126.5625</v>
      </c>
      <c r="M85" s="590">
        <f>Таблица7[[#This Row],[Размер отряда минимум]]*2.5</f>
        <v>168.75</v>
      </c>
      <c r="N85" s="590"/>
      <c r="O85" s="590"/>
      <c r="P85" s="590"/>
      <c r="Q85" s="590"/>
      <c r="R85" s="53" t="s">
        <v>4</v>
      </c>
      <c r="S85" s="830" t="s">
        <v>2153</v>
      </c>
      <c r="T85" s="53" t="s">
        <v>975</v>
      </c>
      <c r="U85" s="829" t="s">
        <v>1732</v>
      </c>
      <c r="V85" s="831" t="s">
        <v>2219</v>
      </c>
      <c r="W85" s="53" t="s">
        <v>1001</v>
      </c>
      <c r="X85" s="358" t="s">
        <v>1683</v>
      </c>
      <c r="Y85" s="358" t="s">
        <v>2222</v>
      </c>
      <c r="Z85" s="53" t="s">
        <v>1036</v>
      </c>
      <c r="AA85" s="830" t="s">
        <v>1929</v>
      </c>
      <c r="AB85" s="53"/>
      <c r="AC85" s="53"/>
      <c r="AD85" s="789" t="s">
        <v>1158</v>
      </c>
      <c r="AE85" s="789" t="s">
        <v>1962</v>
      </c>
      <c r="AF85" s="53" t="s">
        <v>1211</v>
      </c>
      <c r="AG85" s="159" t="s">
        <v>1963</v>
      </c>
      <c r="AH85" s="53" t="s">
        <v>985</v>
      </c>
      <c r="AI85" s="53"/>
      <c r="AJ85" s="172" t="s">
        <v>985</v>
      </c>
      <c r="AK85" s="172"/>
      <c r="AL85" s="196" t="s">
        <v>985</v>
      </c>
      <c r="AM85" s="53" t="s">
        <v>978</v>
      </c>
      <c r="AN85" s="876" t="s">
        <v>2381</v>
      </c>
      <c r="AO85" s="830" t="s">
        <v>2057</v>
      </c>
      <c r="AP85" s="53" t="s">
        <v>1038</v>
      </c>
      <c r="AQ85" s="830" t="s">
        <v>2158</v>
      </c>
      <c r="AS85" s="52">
        <v>1500</v>
      </c>
      <c r="AT85" s="54">
        <v>1550</v>
      </c>
      <c r="AU85" s="405">
        <v>8</v>
      </c>
      <c r="AV85" s="405" t="s">
        <v>1828</v>
      </c>
      <c r="AW85" s="405">
        <f>VLOOKUP(Таблица7[[#This Row],[Основное оружие]], Оружие[#All], 2, 0)</f>
        <v>0</v>
      </c>
      <c r="AX85" s="405">
        <f>IF(ISBLANK(Таблица7[[#This Row],[Дополнительное оружие]]),"", VLOOKUP(Таблица7[[#This Row],[Дополнительное оружие]], Оружие[#All], 2, 0))</f>
        <v>5</v>
      </c>
      <c r="AY8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8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8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85" s="405">
        <f>VLOOKUP(Таблица7[[#This Row],[Основное оружие]], Оружие[#All], 3, 0)</f>
        <v>1</v>
      </c>
      <c r="BC85" s="405">
        <f>IF(ISBLANK(Таблица7[[#This Row],[Дополнительное оружие]]),"", VLOOKUP(Таблица7[[#This Row],[Дополнительное оружие]], Оружие[#All], 3, 0))</f>
        <v>3</v>
      </c>
      <c r="BD8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8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8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8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8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8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85" s="405">
        <f>Таблица7[[#This Row],[Броня]]+Таблица7[[#This Row],[Щит]]+Таблица7[[#This Row],[навык защиты]]</f>
        <v>21</v>
      </c>
      <c r="BK85" s="1006"/>
      <c r="BL85" s="1006"/>
      <c r="BM85" s="377"/>
      <c r="BN85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85" s="377">
        <v>1</v>
      </c>
      <c r="BP85" s="377">
        <v>1</v>
      </c>
      <c r="BQ85" s="377">
        <v>0</v>
      </c>
      <c r="BR85" s="377">
        <v>2</v>
      </c>
      <c r="BS85" s="377">
        <v>0</v>
      </c>
      <c r="BT85" s="377">
        <v>11</v>
      </c>
      <c r="BU85" s="973" t="s">
        <v>1839</v>
      </c>
      <c r="BV85" s="973" t="s">
        <v>1843</v>
      </c>
      <c r="BW85" s="377"/>
      <c r="BX85" s="377"/>
      <c r="BY85" s="377"/>
      <c r="BZ85" s="55"/>
    </row>
    <row r="86" spans="1:78" s="52" customFormat="1" ht="40.5" customHeight="1" x14ac:dyDescent="0.25">
      <c r="A86" s="333">
        <v>85</v>
      </c>
      <c r="B86" s="553" t="s">
        <v>1680</v>
      </c>
      <c r="C86" s="830" t="s">
        <v>2218</v>
      </c>
      <c r="D86" s="53" t="s">
        <v>1556</v>
      </c>
      <c r="E86" s="53" t="s">
        <v>1571</v>
      </c>
      <c r="F86" s="53"/>
      <c r="G86" s="53"/>
      <c r="H86" s="53"/>
      <c r="I86" s="646">
        <v>0.75</v>
      </c>
      <c r="J86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86" s="589">
        <f>Таблица7[[#This Row],[Размер отряда минимум]]*1.25</f>
        <v>93.75</v>
      </c>
      <c r="L86" s="589">
        <f>Таблица7[[#This Row],[Размер отряда норма]]*1.5</f>
        <v>140.625</v>
      </c>
      <c r="M86" s="590">
        <f>Таблица7[[#This Row],[Размер отряда минимум]]*2.5</f>
        <v>187.5</v>
      </c>
      <c r="N86" s="590"/>
      <c r="O86" s="590"/>
      <c r="P86" s="590"/>
      <c r="Q86" s="590"/>
      <c r="R86" s="53" t="s">
        <v>4</v>
      </c>
      <c r="S86" s="830" t="s">
        <v>2153</v>
      </c>
      <c r="T86" s="53" t="s">
        <v>976</v>
      </c>
      <c r="U86" s="829" t="s">
        <v>1733</v>
      </c>
      <c r="V86" s="831" t="s">
        <v>2220</v>
      </c>
      <c r="W86" s="53" t="s">
        <v>1001</v>
      </c>
      <c r="X86" s="53" t="s">
        <v>1469</v>
      </c>
      <c r="Y86" s="830" t="s">
        <v>2056</v>
      </c>
      <c r="Z86" s="53" t="s">
        <v>1440</v>
      </c>
      <c r="AA86" s="830" t="s">
        <v>2020</v>
      </c>
      <c r="AB86" s="53"/>
      <c r="AC86" s="53"/>
      <c r="AD86" s="789" t="s">
        <v>1158</v>
      </c>
      <c r="AE86" s="789" t="s">
        <v>1962</v>
      </c>
      <c r="AF86" s="53" t="s">
        <v>1211</v>
      </c>
      <c r="AG86" s="159" t="s">
        <v>1963</v>
      </c>
      <c r="AH86" s="53" t="s">
        <v>985</v>
      </c>
      <c r="AI86" s="53"/>
      <c r="AJ86" s="172" t="s">
        <v>985</v>
      </c>
      <c r="AK86" s="172"/>
      <c r="AL86" s="196" t="s">
        <v>985</v>
      </c>
      <c r="AM86" s="53" t="s">
        <v>978</v>
      </c>
      <c r="AN86" s="876" t="s">
        <v>2381</v>
      </c>
      <c r="AO86" s="830" t="s">
        <v>2057</v>
      </c>
      <c r="AP86" s="53" t="s">
        <v>1038</v>
      </c>
      <c r="AQ86" s="830" t="s">
        <v>2158</v>
      </c>
      <c r="AS86" s="52">
        <v>1550</v>
      </c>
      <c r="AT86" s="54"/>
      <c r="AU86" s="405">
        <v>8</v>
      </c>
      <c r="AV86" s="405" t="s">
        <v>1828</v>
      </c>
      <c r="AW86" s="405">
        <f>VLOOKUP(Таблица7[[#This Row],[Основное оружие]], Оружие[#All], 2, 0)</f>
        <v>0</v>
      </c>
      <c r="AX86" s="405">
        <f>IF(ISBLANK(Таблица7[[#This Row],[Дополнительное оружие]]),"", VLOOKUP(Таблица7[[#This Row],[Дополнительное оружие]], Оружие[#All], 2, 0))</f>
        <v>4</v>
      </c>
      <c r="AY8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8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8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86" s="405">
        <f>VLOOKUP(Таблица7[[#This Row],[Основное оружие]], Оружие[#All], 3, 0)</f>
        <v>1</v>
      </c>
      <c r="BC86" s="405">
        <f>IF(ISBLANK(Таблица7[[#This Row],[Дополнительное оружие]]),"", VLOOKUP(Таблица7[[#This Row],[Дополнительное оружие]], Оружие[#All], 3, 0))</f>
        <v>3</v>
      </c>
      <c r="BD8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8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8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8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8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8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86" s="405">
        <f>Таблица7[[#This Row],[Броня]]+Таблица7[[#This Row],[Щит]]+Таблица7[[#This Row],[навык защиты]]</f>
        <v>21</v>
      </c>
      <c r="BK86" s="1006"/>
      <c r="BL86" s="1006"/>
      <c r="BM86" s="377"/>
      <c r="BN86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86" s="377">
        <v>1</v>
      </c>
      <c r="BP86" s="377">
        <v>1</v>
      </c>
      <c r="BQ86" s="377">
        <v>0</v>
      </c>
      <c r="BR86" s="377">
        <v>2</v>
      </c>
      <c r="BS86" s="377">
        <v>0</v>
      </c>
      <c r="BT86" s="377">
        <v>11</v>
      </c>
      <c r="BU86" s="973" t="s">
        <v>1839</v>
      </c>
      <c r="BV86" s="973" t="s">
        <v>1843</v>
      </c>
      <c r="BW86" s="377"/>
      <c r="BX86" s="377"/>
      <c r="BY86" s="377"/>
      <c r="BZ86" s="55"/>
    </row>
    <row r="87" spans="1:78" s="52" customFormat="1" ht="40.5" customHeight="1" x14ac:dyDescent="0.25">
      <c r="A87" s="333">
        <v>86</v>
      </c>
      <c r="B87" s="553" t="s">
        <v>1678</v>
      </c>
      <c r="C87" s="836" t="s">
        <v>2259</v>
      </c>
      <c r="D87" s="53" t="s">
        <v>1555</v>
      </c>
      <c r="E87" s="53" t="s">
        <v>1570</v>
      </c>
      <c r="F87" s="53"/>
      <c r="G87" s="53"/>
      <c r="H87" s="53"/>
      <c r="I87" s="646">
        <v>0.75</v>
      </c>
      <c r="J87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87" s="589">
        <f>Таблица7[[#This Row],[Размер отряда минимум]]*1.25</f>
        <v>37.5</v>
      </c>
      <c r="L87" s="589">
        <f>Таблица7[[#This Row],[Размер отряда норма]]*1.5</f>
        <v>56.25</v>
      </c>
      <c r="M87" s="590">
        <f>Таблица7[[#This Row],[Размер отряда минимум]]*2.5</f>
        <v>75</v>
      </c>
      <c r="N87" s="590"/>
      <c r="O87" s="590"/>
      <c r="P87" s="590"/>
      <c r="Q87" s="590"/>
      <c r="R87" s="53" t="s">
        <v>4</v>
      </c>
      <c r="S87" s="830" t="s">
        <v>2153</v>
      </c>
      <c r="T87" s="830" t="s">
        <v>1032</v>
      </c>
      <c r="U87" s="829" t="s">
        <v>1730</v>
      </c>
      <c r="V87" s="831" t="s">
        <v>2223</v>
      </c>
      <c r="W87" s="323" t="s">
        <v>984</v>
      </c>
      <c r="X87" s="323" t="s">
        <v>1692</v>
      </c>
      <c r="Y87" s="830" t="s">
        <v>1938</v>
      </c>
      <c r="Z87" s="323" t="s">
        <v>1036</v>
      </c>
      <c r="AA87" s="830" t="s">
        <v>1929</v>
      </c>
      <c r="AB87" s="323" t="s">
        <v>944</v>
      </c>
      <c r="AC87" s="830" t="s">
        <v>1923</v>
      </c>
      <c r="AD87" s="324" t="s">
        <v>985</v>
      </c>
      <c r="AE87" s="789"/>
      <c r="AF87" s="323" t="s">
        <v>991</v>
      </c>
      <c r="AG87" s="830" t="s">
        <v>1951</v>
      </c>
      <c r="AH87" s="323" t="s">
        <v>1202</v>
      </c>
      <c r="AI87" s="830" t="s">
        <v>1980</v>
      </c>
      <c r="AJ87" s="324" t="s">
        <v>985</v>
      </c>
      <c r="AK87" s="324"/>
      <c r="AL87" s="325" t="s">
        <v>985</v>
      </c>
      <c r="AM87" s="323" t="s">
        <v>978</v>
      </c>
      <c r="AN87" s="876" t="s">
        <v>992</v>
      </c>
      <c r="AO87" s="836" t="s">
        <v>1904</v>
      </c>
      <c r="AP87" s="53" t="s">
        <v>1038</v>
      </c>
      <c r="AQ87" s="830" t="s">
        <v>2158</v>
      </c>
      <c r="AS87" s="52">
        <v>1500</v>
      </c>
      <c r="AT87" s="54"/>
      <c r="AU87" s="405">
        <v>6</v>
      </c>
      <c r="AV87" s="405" t="s">
        <v>1827</v>
      </c>
      <c r="AW87" s="405">
        <f>VLOOKUP(Таблица7[[#This Row],[Основное оружие]], Оружие[#All], 2, 0)</f>
        <v>8</v>
      </c>
      <c r="AX87" s="405">
        <f>IF(ISBLANK(Таблица7[[#This Row],[Дополнительное оружие]]),"", VLOOKUP(Таблица7[[#This Row],[Дополнительное оружие]], Оружие[#All], 2, 0))</f>
        <v>5</v>
      </c>
      <c r="AY8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8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8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87" s="405">
        <f>VLOOKUP(Таблица7[[#This Row],[Основное оружие]], Оружие[#All], 3, 0)</f>
        <v>1</v>
      </c>
      <c r="BC87" s="405">
        <f>IF(ISBLANK(Таблица7[[#This Row],[Дополнительное оружие]]),"", VLOOKUP(Таблица7[[#This Row],[Дополнительное оружие]], Оружие[#All], 3, 0))</f>
        <v>3</v>
      </c>
      <c r="BD8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8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87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8</v>
      </c>
      <c r="BG8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8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8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87" s="405">
        <f>Таблица7[[#This Row],[Броня]]+Таблица7[[#This Row],[Щит]]+Таблица7[[#This Row],[навык защиты]]</f>
        <v>9</v>
      </c>
      <c r="BK87" s="1008" t="s">
        <v>1589</v>
      </c>
      <c r="BL87" s="1008"/>
      <c r="BM87" s="377"/>
      <c r="BN87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87" s="377">
        <v>1</v>
      </c>
      <c r="BP87" s="377">
        <v>-2</v>
      </c>
      <c r="BQ87" s="377">
        <v>0</v>
      </c>
      <c r="BR87" s="377">
        <v>-4</v>
      </c>
      <c r="BS87" s="377">
        <v>-2</v>
      </c>
      <c r="BT87" s="377">
        <v>9</v>
      </c>
      <c r="BU87" s="973" t="s">
        <v>1576</v>
      </c>
      <c r="BV87" s="973" t="s">
        <v>1843</v>
      </c>
      <c r="BW87" s="377"/>
      <c r="BX87" s="377"/>
      <c r="BY87" s="377"/>
      <c r="BZ87" s="55"/>
    </row>
    <row r="88" spans="1:78" s="52" customFormat="1" ht="40.5" customHeight="1" x14ac:dyDescent="0.25">
      <c r="A88" s="333">
        <v>87</v>
      </c>
      <c r="B88" s="553" t="s">
        <v>1679</v>
      </c>
      <c r="C88" s="830" t="s">
        <v>2224</v>
      </c>
      <c r="D88" s="53" t="s">
        <v>1555</v>
      </c>
      <c r="E88" s="53" t="s">
        <v>1547</v>
      </c>
      <c r="F88" s="53"/>
      <c r="G88" s="53"/>
      <c r="H88" s="53"/>
      <c r="I88" s="646">
        <v>0.5</v>
      </c>
      <c r="J88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88" s="589">
        <f>Таблица7[[#This Row],[Размер отряда минимум]]*1.25</f>
        <v>12.5</v>
      </c>
      <c r="L88" s="589">
        <f>Таблица7[[#This Row],[Размер отряда норма]]*1.5</f>
        <v>18.75</v>
      </c>
      <c r="M88" s="590">
        <f>Таблица7[[#This Row],[Размер отряда минимум]]*2.5</f>
        <v>25</v>
      </c>
      <c r="N88" s="590"/>
      <c r="O88" s="590"/>
      <c r="P88" s="590"/>
      <c r="Q88" s="590"/>
      <c r="R88" s="53" t="s">
        <v>4</v>
      </c>
      <c r="S88" s="830" t="s">
        <v>2153</v>
      </c>
      <c r="T88" s="53" t="s">
        <v>975</v>
      </c>
      <c r="U88" s="829" t="s">
        <v>1731</v>
      </c>
      <c r="V88" s="877" t="s">
        <v>2228</v>
      </c>
      <c r="W88" s="172" t="s">
        <v>1001</v>
      </c>
      <c r="X88" s="53" t="s">
        <v>1528</v>
      </c>
      <c r="Y88" s="830" t="s">
        <v>2024</v>
      </c>
      <c r="Z88" s="53" t="s">
        <v>1036</v>
      </c>
      <c r="AA88" s="830" t="s">
        <v>1929</v>
      </c>
      <c r="AB88" s="53"/>
      <c r="AC88" s="53"/>
      <c r="AD88" s="172" t="s">
        <v>1004</v>
      </c>
      <c r="AE88" s="829" t="s">
        <v>1952</v>
      </c>
      <c r="AF88" s="53" t="s">
        <v>985</v>
      </c>
      <c r="AG88" s="53"/>
      <c r="AH88" s="53" t="s">
        <v>985</v>
      </c>
      <c r="AI88" s="53"/>
      <c r="AJ88" s="172" t="s">
        <v>985</v>
      </c>
      <c r="AK88" s="172"/>
      <c r="AL88" s="196" t="s">
        <v>1163</v>
      </c>
      <c r="AM88" s="53" t="s">
        <v>935</v>
      </c>
      <c r="AN88" s="53" t="s">
        <v>952</v>
      </c>
      <c r="AO88" s="830" t="s">
        <v>1871</v>
      </c>
      <c r="AP88" s="53" t="s">
        <v>952</v>
      </c>
      <c r="AQ88" s="830" t="s">
        <v>1871</v>
      </c>
      <c r="AS88" s="52">
        <v>1500</v>
      </c>
      <c r="AT88" s="54">
        <v>1565</v>
      </c>
      <c r="AU88" s="405">
        <v>10</v>
      </c>
      <c r="AV88" s="405"/>
      <c r="AW88" s="405">
        <f>VLOOKUP(Таблица7[[#This Row],[Основное оружие]], Оружие[#All], 2, 0)</f>
        <v>2</v>
      </c>
      <c r="AX88" s="405">
        <f>IF(ISBLANK(Таблица7[[#This Row],[Дополнительное оружие]]),"", VLOOKUP(Таблица7[[#This Row],[Дополнительное оружие]], Оружие[#All], 2, 0))</f>
        <v>5</v>
      </c>
      <c r="AY8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8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8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88" s="405">
        <f>VLOOKUP(Таблица7[[#This Row],[Основное оружие]], Оружие[#All], 3, 0)</f>
        <v>6</v>
      </c>
      <c r="BC88" s="405">
        <f>IF(ISBLANK(Таблица7[[#This Row],[Дополнительное оружие]]),"", VLOOKUP(Таблица7[[#This Row],[Дополнительное оружие]], Оружие[#All], 3, 0))</f>
        <v>3</v>
      </c>
      <c r="BD8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8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8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8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8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8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88" s="405">
        <f>Таблица7[[#This Row],[Броня]]+Таблица7[[#This Row],[Щит]]+Таблица7[[#This Row],[навык защиты]]</f>
        <v>29</v>
      </c>
      <c r="BK88" s="1006"/>
      <c r="BL88" s="1006"/>
      <c r="BM88" s="377"/>
      <c r="BN88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88" s="377">
        <v>1</v>
      </c>
      <c r="BP88" s="377">
        <v>-2</v>
      </c>
      <c r="BQ88" s="377">
        <v>0</v>
      </c>
      <c r="BR88" s="377">
        <v>-4</v>
      </c>
      <c r="BS88" s="377">
        <v>-2</v>
      </c>
      <c r="BT88" s="377">
        <v>11</v>
      </c>
      <c r="BU88" s="973" t="s">
        <v>1840</v>
      </c>
      <c r="BV88" s="973" t="s">
        <v>1844</v>
      </c>
      <c r="BW88" s="377"/>
      <c r="BX88" s="377"/>
      <c r="BY88" s="377"/>
      <c r="BZ88" s="55"/>
    </row>
    <row r="89" spans="1:78" s="52" customFormat="1" ht="40.5" customHeight="1" x14ac:dyDescent="0.25">
      <c r="A89" s="333">
        <v>88</v>
      </c>
      <c r="B89" s="830" t="s">
        <v>2225</v>
      </c>
      <c r="C89" s="830" t="s">
        <v>2227</v>
      </c>
      <c r="D89" s="53" t="s">
        <v>1555</v>
      </c>
      <c r="E89" s="53" t="s">
        <v>1547</v>
      </c>
      <c r="F89" s="53"/>
      <c r="G89" s="53"/>
      <c r="H89" s="53"/>
      <c r="I89" s="646">
        <v>0.5</v>
      </c>
      <c r="J89" s="58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89" s="589">
        <f>Таблица7[[#This Row],[Размер отряда минимум]]*1.25</f>
        <v>15</v>
      </c>
      <c r="L89" s="589">
        <f>Таблица7[[#This Row],[Размер отряда норма]]*1.5</f>
        <v>22.5</v>
      </c>
      <c r="M89" s="590">
        <f>Таблица7[[#This Row],[Размер отряда минимум]]*2.5</f>
        <v>30</v>
      </c>
      <c r="N89" s="590"/>
      <c r="O89" s="590"/>
      <c r="P89" s="590"/>
      <c r="Q89" s="590"/>
      <c r="R89" s="53" t="s">
        <v>4</v>
      </c>
      <c r="S89" s="830" t="s">
        <v>2153</v>
      </c>
      <c r="T89" s="553" t="s">
        <v>976</v>
      </c>
      <c r="U89" s="829" t="s">
        <v>2226</v>
      </c>
      <c r="V89" s="831" t="s">
        <v>2229</v>
      </c>
      <c r="W89" s="172" t="s">
        <v>1001</v>
      </c>
      <c r="X89" s="770" t="s">
        <v>1950</v>
      </c>
      <c r="Y89" s="830" t="s">
        <v>1949</v>
      </c>
      <c r="Z89" s="53" t="s">
        <v>1440</v>
      </c>
      <c r="AA89" s="830" t="s">
        <v>2020</v>
      </c>
      <c r="AB89" s="53"/>
      <c r="AC89" s="53"/>
      <c r="AD89" s="172" t="s">
        <v>1005</v>
      </c>
      <c r="AE89" s="836" t="s">
        <v>2031</v>
      </c>
      <c r="AF89" s="53" t="s">
        <v>985</v>
      </c>
      <c r="AG89" s="53"/>
      <c r="AH89" s="53" t="s">
        <v>985</v>
      </c>
      <c r="AI89" s="53"/>
      <c r="AJ89" s="172" t="s">
        <v>985</v>
      </c>
      <c r="AK89" s="172"/>
      <c r="AL89" s="196" t="s">
        <v>985</v>
      </c>
      <c r="AM89" s="53" t="s">
        <v>935</v>
      </c>
      <c r="AN89" s="53" t="s">
        <v>952</v>
      </c>
      <c r="AO89" s="830" t="s">
        <v>1871</v>
      </c>
      <c r="AP89" s="53" t="s">
        <v>952</v>
      </c>
      <c r="AQ89" s="830" t="s">
        <v>1871</v>
      </c>
      <c r="AS89" s="52">
        <v>1565</v>
      </c>
      <c r="AT89" s="54"/>
      <c r="AU89" s="405">
        <v>10</v>
      </c>
      <c r="AV89" s="405" t="s">
        <v>1828</v>
      </c>
      <c r="AW89" s="405">
        <f>VLOOKUP(Таблица7[[#This Row],[Основное оружие]], Оружие[#All], 2, 0)</f>
        <v>0</v>
      </c>
      <c r="AX89" s="405">
        <f>IF(ISBLANK(Таблица7[[#This Row],[Дополнительное оружие]]),"", VLOOKUP(Таблица7[[#This Row],[Дополнительное оружие]], Оружие[#All], 2, 0))</f>
        <v>4</v>
      </c>
      <c r="AY8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8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8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89" s="405">
        <f>VLOOKUP(Таблица7[[#This Row],[Основное оружие]], Оружие[#All], 3, 0)</f>
        <v>1</v>
      </c>
      <c r="BC89" s="405">
        <f>IF(ISBLANK(Таблица7[[#This Row],[Дополнительное оружие]]),"", VLOOKUP(Таблица7[[#This Row],[Дополнительное оружие]], Оружие[#All], 3, 0))</f>
        <v>3</v>
      </c>
      <c r="BD8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8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8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8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8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8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89" s="405">
        <f>Таблица7[[#This Row],[Броня]]+Таблица7[[#This Row],[Щит]]+Таблица7[[#This Row],[навык защиты]]</f>
        <v>28</v>
      </c>
      <c r="BK89" s="1006"/>
      <c r="BL89" s="1006"/>
      <c r="BM89" s="377"/>
      <c r="BN89" s="97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89" s="377">
        <v>1</v>
      </c>
      <c r="BP89" s="377">
        <v>-2</v>
      </c>
      <c r="BQ89" s="377">
        <v>0</v>
      </c>
      <c r="BR89" s="377">
        <v>-4</v>
      </c>
      <c r="BS89" s="377">
        <v>-2</v>
      </c>
      <c r="BT89" s="377">
        <v>11</v>
      </c>
      <c r="BU89" s="973" t="s">
        <v>1840</v>
      </c>
      <c r="BV89" s="973" t="s">
        <v>1844</v>
      </c>
      <c r="BW89" s="377"/>
      <c r="BX89" s="377"/>
      <c r="BY89" s="377"/>
      <c r="BZ89" s="55"/>
    </row>
    <row r="90" spans="1:78" s="57" customFormat="1" ht="40.5" customHeight="1" x14ac:dyDescent="0.25">
      <c r="A90" s="333">
        <v>89</v>
      </c>
      <c r="B90" s="566" t="s">
        <v>1708</v>
      </c>
      <c r="C90" s="832" t="s">
        <v>2231</v>
      </c>
      <c r="D90" s="56" t="s">
        <v>1556</v>
      </c>
      <c r="E90" s="56" t="s">
        <v>1560</v>
      </c>
      <c r="F90" s="56"/>
      <c r="G90" s="56"/>
      <c r="H90" s="56"/>
      <c r="I90" s="639">
        <v>1</v>
      </c>
      <c r="J90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90" s="591">
        <f>Таблица7[[#This Row],[Размер отряда минимум]]*1.25</f>
        <v>112.5</v>
      </c>
      <c r="L90" s="591">
        <f>Таблица7[[#This Row],[Размер отряда норма]]*1.5</f>
        <v>168.75</v>
      </c>
      <c r="M90" s="592">
        <f>Таблица7[[#This Row],[Размер отряда минимум]]*2.5</f>
        <v>225</v>
      </c>
      <c r="N90" s="592"/>
      <c r="O90" s="592"/>
      <c r="P90" s="592"/>
      <c r="Q90" s="592"/>
      <c r="R90" s="56" t="s">
        <v>5</v>
      </c>
      <c r="S90" s="832" t="s">
        <v>2230</v>
      </c>
      <c r="T90" s="56" t="s">
        <v>975</v>
      </c>
      <c r="U90" s="833" t="s">
        <v>1734</v>
      </c>
      <c r="V90" s="834" t="s">
        <v>2232</v>
      </c>
      <c r="W90" s="173" t="s">
        <v>993</v>
      </c>
      <c r="X90" s="56" t="s">
        <v>994</v>
      </c>
      <c r="Y90" s="832" t="s">
        <v>1932</v>
      </c>
      <c r="Z90" s="56"/>
      <c r="AA90" s="832"/>
      <c r="AB90" s="56"/>
      <c r="AC90" s="56"/>
      <c r="AD90" s="173" t="s">
        <v>985</v>
      </c>
      <c r="AE90" s="173"/>
      <c r="AF90" s="56" t="s">
        <v>991</v>
      </c>
      <c r="AG90" s="832" t="s">
        <v>1951</v>
      </c>
      <c r="AH90" s="56" t="s">
        <v>985</v>
      </c>
      <c r="AI90" s="56"/>
      <c r="AJ90" s="173" t="s">
        <v>985</v>
      </c>
      <c r="AK90" s="173"/>
      <c r="AL90" s="197" t="s">
        <v>985</v>
      </c>
      <c r="AM90" s="56" t="s">
        <v>935</v>
      </c>
      <c r="AN90" s="870" t="s">
        <v>1906</v>
      </c>
      <c r="AO90" s="832" t="s">
        <v>1905</v>
      </c>
      <c r="AP90" s="832" t="s">
        <v>952</v>
      </c>
      <c r="AQ90" s="832" t="s">
        <v>1871</v>
      </c>
      <c r="AR90" s="56"/>
      <c r="AS90" s="57">
        <v>1500</v>
      </c>
      <c r="AT90" s="58">
        <v>1550</v>
      </c>
      <c r="AU90" s="444">
        <v>6</v>
      </c>
      <c r="AV90" s="405"/>
      <c r="AW90" s="405">
        <f>VLOOKUP(Таблица7[[#This Row],[Основное оружие]], Оружие[#All], 2, 0)</f>
        <v>1</v>
      </c>
      <c r="AX90" s="405" t="str">
        <f>IF(ISBLANK(Таблица7[[#This Row],[Дополнительное оружие]]),"", VLOOKUP(Таблица7[[#This Row],[Дополнительное оружие]], Оружие[#All], 2, 0))</f>
        <v/>
      </c>
      <c r="AY9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9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90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0" s="405">
        <f>VLOOKUP(Таблица7[[#This Row],[Основное оружие]], Оружие[#All], 3, 0)</f>
        <v>1</v>
      </c>
      <c r="BC90" s="405" t="str">
        <f>IF(ISBLANK(Таблица7[[#This Row],[Дополнительное оружие]]),"", VLOOKUP(Таблица7[[#This Row],[Дополнительное оружие]], Оружие[#All], 3, 0))</f>
        <v/>
      </c>
      <c r="BD9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9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9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9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9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0" s="405">
        <f>Таблица7[[#This Row],[Броня]]+Таблица7[[#This Row],[Щит]]+Таблица7[[#This Row],[навык защиты]]</f>
        <v>6</v>
      </c>
      <c r="BK90" s="1006"/>
      <c r="BL90" s="1006"/>
      <c r="BM90" s="378"/>
      <c r="BN90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90" s="378">
        <v>3</v>
      </c>
      <c r="BP90" s="378">
        <v>-1</v>
      </c>
      <c r="BQ90" s="378">
        <v>-2</v>
      </c>
      <c r="BR90" s="378">
        <v>-2</v>
      </c>
      <c r="BS90" s="378">
        <v>2</v>
      </c>
      <c r="BT90" s="378">
        <v>10</v>
      </c>
      <c r="BU90" s="974" t="s">
        <v>1841</v>
      </c>
      <c r="BV90" s="974" t="s">
        <v>1844</v>
      </c>
      <c r="BW90" s="378"/>
      <c r="BX90" s="378"/>
      <c r="BY90" s="378"/>
      <c r="BZ90" s="59"/>
    </row>
    <row r="91" spans="1:78" s="57" customFormat="1" ht="40.5" customHeight="1" x14ac:dyDescent="0.25">
      <c r="A91" s="333">
        <v>90</v>
      </c>
      <c r="B91" s="566" t="s">
        <v>1708</v>
      </c>
      <c r="C91" s="832" t="s">
        <v>2231</v>
      </c>
      <c r="D91" s="56" t="s">
        <v>1556</v>
      </c>
      <c r="E91" s="56" t="s">
        <v>1560</v>
      </c>
      <c r="F91" s="56"/>
      <c r="G91" s="56"/>
      <c r="H91" s="56"/>
      <c r="I91" s="639">
        <v>1</v>
      </c>
      <c r="J91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91" s="591">
        <f>Таблица7[[#This Row],[Размер отряда минимум]]*1.25</f>
        <v>125</v>
      </c>
      <c r="L91" s="591">
        <f>Таблица7[[#This Row],[Размер отряда норма]]*1.5</f>
        <v>187.5</v>
      </c>
      <c r="M91" s="592">
        <f>Таблица7[[#This Row],[Размер отряда минимум]]*2.5</f>
        <v>250</v>
      </c>
      <c r="N91" s="592"/>
      <c r="O91" s="592"/>
      <c r="P91" s="592"/>
      <c r="Q91" s="592"/>
      <c r="R91" s="56" t="s">
        <v>5</v>
      </c>
      <c r="S91" s="832" t="s">
        <v>2230</v>
      </c>
      <c r="T91" s="56" t="s">
        <v>976</v>
      </c>
      <c r="U91" s="730" t="s">
        <v>1734</v>
      </c>
      <c r="V91" s="834" t="s">
        <v>2232</v>
      </c>
      <c r="W91" s="173" t="s">
        <v>993</v>
      </c>
      <c r="X91" s="56" t="s">
        <v>994</v>
      </c>
      <c r="Y91" s="832" t="s">
        <v>1932</v>
      </c>
      <c r="Z91" s="56"/>
      <c r="AA91" s="832"/>
      <c r="AB91" s="56"/>
      <c r="AC91" s="56"/>
      <c r="AD91" s="173" t="s">
        <v>985</v>
      </c>
      <c r="AE91" s="173"/>
      <c r="AF91" s="56" t="s">
        <v>991</v>
      </c>
      <c r="AG91" s="832" t="s">
        <v>1951</v>
      </c>
      <c r="AH91" s="56" t="s">
        <v>985</v>
      </c>
      <c r="AI91" s="56"/>
      <c r="AJ91" s="173" t="s">
        <v>985</v>
      </c>
      <c r="AK91" s="173"/>
      <c r="AL91" s="197" t="s">
        <v>985</v>
      </c>
      <c r="AM91" s="56" t="s">
        <v>935</v>
      </c>
      <c r="AN91" s="870" t="s">
        <v>1906</v>
      </c>
      <c r="AO91" s="832" t="s">
        <v>1905</v>
      </c>
      <c r="AP91" s="832" t="s">
        <v>952</v>
      </c>
      <c r="AQ91" s="832" t="s">
        <v>1871</v>
      </c>
      <c r="AS91" s="57">
        <v>1550</v>
      </c>
      <c r="AT91" s="58"/>
      <c r="AU91" s="444">
        <v>6</v>
      </c>
      <c r="AV91" s="405"/>
      <c r="AW91" s="405">
        <f>VLOOKUP(Таблица7[[#This Row],[Основное оружие]], Оружие[#All], 2, 0)</f>
        <v>1</v>
      </c>
      <c r="AX91" s="405" t="str">
        <f>IF(ISBLANK(Таблица7[[#This Row],[Дополнительное оружие]]),"", VLOOKUP(Таблица7[[#This Row],[Дополнительное оружие]], Оружие[#All], 2, 0))</f>
        <v/>
      </c>
      <c r="AY9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9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91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1" s="405">
        <f>VLOOKUP(Таблица7[[#This Row],[Основное оружие]], Оружие[#All], 3, 0)</f>
        <v>1</v>
      </c>
      <c r="BC91" s="405" t="str">
        <f>IF(ISBLANK(Таблица7[[#This Row],[Дополнительное оружие]]),"", VLOOKUP(Таблица7[[#This Row],[Дополнительное оружие]], Оружие[#All], 3, 0))</f>
        <v/>
      </c>
      <c r="BD9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9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9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9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9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1" s="405">
        <f>Таблица7[[#This Row],[Броня]]+Таблица7[[#This Row],[Щит]]+Таблица7[[#This Row],[навык защиты]]</f>
        <v>6</v>
      </c>
      <c r="BK91" s="1006"/>
      <c r="BL91" s="1006"/>
      <c r="BM91" s="378"/>
      <c r="BN91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91" s="378">
        <v>3</v>
      </c>
      <c r="BP91" s="378">
        <v>-1</v>
      </c>
      <c r="BQ91" s="378">
        <v>-2</v>
      </c>
      <c r="BR91" s="378">
        <v>-2</v>
      </c>
      <c r="BS91" s="378">
        <v>2</v>
      </c>
      <c r="BT91" s="378">
        <v>10</v>
      </c>
      <c r="BU91" s="974" t="s">
        <v>1841</v>
      </c>
      <c r="BV91" s="974" t="s">
        <v>1844</v>
      </c>
      <c r="BW91" s="378"/>
      <c r="BX91" s="378"/>
      <c r="BY91" s="378"/>
      <c r="BZ91" s="59"/>
    </row>
    <row r="92" spans="1:78" s="57" customFormat="1" ht="40.5" customHeight="1" x14ac:dyDescent="0.25">
      <c r="A92" s="333">
        <v>91</v>
      </c>
      <c r="B92" s="566" t="s">
        <v>1709</v>
      </c>
      <c r="C92" s="832" t="s">
        <v>2234</v>
      </c>
      <c r="D92" s="56" t="s">
        <v>1556</v>
      </c>
      <c r="E92" s="56" t="s">
        <v>1546</v>
      </c>
      <c r="F92" s="56"/>
      <c r="G92" s="56"/>
      <c r="H92" s="56"/>
      <c r="I92" s="639">
        <v>1</v>
      </c>
      <c r="J92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92" s="591">
        <f>Таблица7[[#This Row],[Размер отряда минимум]]*1.25</f>
        <v>112.5</v>
      </c>
      <c r="L92" s="591">
        <f>Таблица7[[#This Row],[Размер отряда норма]]*1.5</f>
        <v>168.75</v>
      </c>
      <c r="M92" s="592">
        <f>Таблица7[[#This Row],[Размер отряда минимум]]*2.5</f>
        <v>225</v>
      </c>
      <c r="N92" s="592"/>
      <c r="O92" s="592"/>
      <c r="P92" s="592"/>
      <c r="Q92" s="592"/>
      <c r="R92" s="56" t="s">
        <v>5</v>
      </c>
      <c r="S92" s="832" t="s">
        <v>2230</v>
      </c>
      <c r="T92" s="56" t="s">
        <v>975</v>
      </c>
      <c r="U92" s="833" t="s">
        <v>1735</v>
      </c>
      <c r="V92" s="834" t="s">
        <v>2235</v>
      </c>
      <c r="W92" s="173" t="s">
        <v>993</v>
      </c>
      <c r="X92" s="56" t="s">
        <v>996</v>
      </c>
      <c r="Y92" s="832" t="s">
        <v>1973</v>
      </c>
      <c r="Z92" s="56"/>
      <c r="AA92" s="56"/>
      <c r="AB92" s="56"/>
      <c r="AC92" s="56"/>
      <c r="AD92" s="173" t="s">
        <v>985</v>
      </c>
      <c r="AE92" s="173"/>
      <c r="AF92" s="56" t="s">
        <v>991</v>
      </c>
      <c r="AG92" s="832" t="s">
        <v>1951</v>
      </c>
      <c r="AH92" s="56" t="s">
        <v>985</v>
      </c>
      <c r="AI92" s="56"/>
      <c r="AJ92" s="173" t="s">
        <v>985</v>
      </c>
      <c r="AK92" s="173"/>
      <c r="AL92" s="197" t="s">
        <v>985</v>
      </c>
      <c r="AM92" s="56" t="s">
        <v>978</v>
      </c>
      <c r="AN92" s="56" t="s">
        <v>992</v>
      </c>
      <c r="AO92" s="832" t="s">
        <v>1904</v>
      </c>
      <c r="AP92" s="832" t="s">
        <v>952</v>
      </c>
      <c r="AQ92" s="832" t="s">
        <v>1871</v>
      </c>
      <c r="AR92" s="56"/>
      <c r="AS92" s="57">
        <v>1500</v>
      </c>
      <c r="AT92" s="58">
        <v>1550</v>
      </c>
      <c r="AU92" s="444">
        <v>6</v>
      </c>
      <c r="AV92" s="405"/>
      <c r="AW92" s="405">
        <f>VLOOKUP(Таблица7[[#This Row],[Основное оружие]], Оружие[#All], 2, 0)</f>
        <v>7</v>
      </c>
      <c r="AX92" s="405" t="str">
        <f>IF(ISBLANK(Таблица7[[#This Row],[Дополнительное оружие]]),"", VLOOKUP(Таблица7[[#This Row],[Дополнительное оружие]], Оружие[#All], 2, 0))</f>
        <v/>
      </c>
      <c r="AY9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9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9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2" s="405">
        <f>VLOOKUP(Таблица7[[#This Row],[Основное оружие]], Оружие[#All], 3, 0)</f>
        <v>3</v>
      </c>
      <c r="BC92" s="405" t="str">
        <f>IF(ISBLANK(Таблица7[[#This Row],[Дополнительное оружие]]),"", VLOOKUP(Таблица7[[#This Row],[Дополнительное оружие]], Оружие[#All], 3, 0))</f>
        <v/>
      </c>
      <c r="BD9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9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9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9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9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2" s="405">
        <f>Таблица7[[#This Row],[Броня]]+Таблица7[[#This Row],[Щит]]+Таблица7[[#This Row],[навык защиты]]</f>
        <v>8</v>
      </c>
      <c r="BK92" s="1006"/>
      <c r="BL92" s="1006"/>
      <c r="BM92" s="378"/>
      <c r="BN92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92" s="378">
        <v>3</v>
      </c>
      <c r="BP92" s="378">
        <v>0</v>
      </c>
      <c r="BQ92" s="378">
        <v>-2</v>
      </c>
      <c r="BR92" s="378">
        <v>-1</v>
      </c>
      <c r="BS92" s="378">
        <v>2</v>
      </c>
      <c r="BT92" s="378">
        <v>10</v>
      </c>
      <c r="BU92" s="974" t="s">
        <v>1841</v>
      </c>
      <c r="BV92" s="974" t="s">
        <v>1844</v>
      </c>
      <c r="BW92" s="378"/>
      <c r="BX92" s="378"/>
      <c r="BY92" s="378"/>
      <c r="BZ92" s="59"/>
    </row>
    <row r="93" spans="1:78" s="57" customFormat="1" ht="40.5" customHeight="1" x14ac:dyDescent="0.25">
      <c r="A93" s="333">
        <v>92</v>
      </c>
      <c r="B93" s="566" t="s">
        <v>1710</v>
      </c>
      <c r="C93" s="832" t="s">
        <v>2236</v>
      </c>
      <c r="D93" s="56" t="s">
        <v>1556</v>
      </c>
      <c r="E93" s="56" t="s">
        <v>1561</v>
      </c>
      <c r="F93" s="56"/>
      <c r="G93" s="56"/>
      <c r="H93" s="56"/>
      <c r="I93" s="639">
        <v>1</v>
      </c>
      <c r="J93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93" s="591">
        <f>Таблица7[[#This Row],[Размер отряда минимум]]*1.25</f>
        <v>112.5</v>
      </c>
      <c r="L93" s="591">
        <f>Таблица7[[#This Row],[Размер отряда норма]]*1.5</f>
        <v>168.75</v>
      </c>
      <c r="M93" s="592">
        <f>Таблица7[[#This Row],[Размер отряда минимум]]*2.5</f>
        <v>225</v>
      </c>
      <c r="N93" s="592"/>
      <c r="O93" s="592"/>
      <c r="P93" s="592"/>
      <c r="Q93" s="592"/>
      <c r="R93" s="56" t="s">
        <v>5</v>
      </c>
      <c r="S93" s="832" t="s">
        <v>2230</v>
      </c>
      <c r="T93" s="56" t="s">
        <v>975</v>
      </c>
      <c r="U93" s="833" t="s">
        <v>1736</v>
      </c>
      <c r="V93" s="834" t="s">
        <v>2263</v>
      </c>
      <c r="W93" s="173" t="s">
        <v>993</v>
      </c>
      <c r="X93" s="56" t="s">
        <v>994</v>
      </c>
      <c r="Y93" s="832" t="s">
        <v>1932</v>
      </c>
      <c r="Z93" s="56"/>
      <c r="AA93" s="832"/>
      <c r="AB93" s="56"/>
      <c r="AC93" s="56"/>
      <c r="AD93" s="173" t="s">
        <v>1158</v>
      </c>
      <c r="AE93" s="173" t="s">
        <v>1962</v>
      </c>
      <c r="AF93" s="56" t="s">
        <v>1211</v>
      </c>
      <c r="AG93" s="56" t="s">
        <v>1963</v>
      </c>
      <c r="AH93" s="56" t="s">
        <v>985</v>
      </c>
      <c r="AI93" s="56"/>
      <c r="AJ93" s="173" t="s">
        <v>985</v>
      </c>
      <c r="AK93" s="173"/>
      <c r="AL93" s="197" t="s">
        <v>985</v>
      </c>
      <c r="AM93" s="56" t="s">
        <v>978</v>
      </c>
      <c r="AN93" s="56" t="s">
        <v>992</v>
      </c>
      <c r="AO93" s="832" t="s">
        <v>1904</v>
      </c>
      <c r="AP93" s="832" t="s">
        <v>2264</v>
      </c>
      <c r="AQ93" s="832" t="s">
        <v>2265</v>
      </c>
      <c r="AS93" s="57">
        <v>1500</v>
      </c>
      <c r="AT93" s="58">
        <v>1550</v>
      </c>
      <c r="AU93" s="444">
        <v>7</v>
      </c>
      <c r="AV93" s="405"/>
      <c r="AW93" s="405">
        <f>VLOOKUP(Таблица7[[#This Row],[Основное оружие]], Оружие[#All], 2, 0)</f>
        <v>1</v>
      </c>
      <c r="AX93" s="405" t="str">
        <f>IF(ISBLANK(Таблица7[[#This Row],[Дополнительное оружие]]),"", VLOOKUP(Таблица7[[#This Row],[Дополнительное оружие]], Оружие[#All], 2, 0))</f>
        <v/>
      </c>
      <c r="AY9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9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93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3" s="405">
        <f>VLOOKUP(Таблица7[[#This Row],[Основное оружие]], Оружие[#All], 3, 0)</f>
        <v>1</v>
      </c>
      <c r="BC93" s="405" t="str">
        <f>IF(ISBLANK(Таблица7[[#This Row],[Дополнительное оружие]]),"", VLOOKUP(Таблица7[[#This Row],[Дополнительное оружие]], Оружие[#All], 3, 0))</f>
        <v/>
      </c>
      <c r="BD9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9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9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9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9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3" s="405">
        <f>Таблица7[[#This Row],[Броня]]+Таблица7[[#This Row],[Щит]]+Таблица7[[#This Row],[навык защиты]]</f>
        <v>18</v>
      </c>
      <c r="BK93" s="1006"/>
      <c r="BL93" s="1006"/>
      <c r="BM93" s="378"/>
      <c r="BN93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93" s="378">
        <v>3</v>
      </c>
      <c r="BP93" s="378">
        <v>-1</v>
      </c>
      <c r="BQ93" s="378">
        <v>-2</v>
      </c>
      <c r="BR93" s="378">
        <v>-2</v>
      </c>
      <c r="BS93" s="378">
        <v>2</v>
      </c>
      <c r="BT93" s="378">
        <v>12</v>
      </c>
      <c r="BU93" s="974" t="s">
        <v>1841</v>
      </c>
      <c r="BV93" s="974" t="s">
        <v>1844</v>
      </c>
      <c r="BW93" s="378"/>
      <c r="BX93" s="378"/>
      <c r="BY93" s="378"/>
      <c r="BZ93" s="59"/>
    </row>
    <row r="94" spans="1:78" s="57" customFormat="1" ht="40.5" customHeight="1" x14ac:dyDescent="0.25">
      <c r="A94" s="333">
        <v>93</v>
      </c>
      <c r="B94" s="566" t="s">
        <v>1710</v>
      </c>
      <c r="C94" s="832" t="s">
        <v>2236</v>
      </c>
      <c r="D94" s="56" t="s">
        <v>1556</v>
      </c>
      <c r="E94" s="56" t="s">
        <v>1561</v>
      </c>
      <c r="F94" s="56"/>
      <c r="G94" s="56"/>
      <c r="H94" s="56"/>
      <c r="I94" s="639">
        <v>1</v>
      </c>
      <c r="J94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94" s="591">
        <f>Таблица7[[#This Row],[Размер отряда минимум]]*1.25</f>
        <v>125</v>
      </c>
      <c r="L94" s="591">
        <f>Таблица7[[#This Row],[Размер отряда норма]]*1.5</f>
        <v>187.5</v>
      </c>
      <c r="M94" s="592">
        <f>Таблица7[[#This Row],[Размер отряда минимум]]*2.5</f>
        <v>250</v>
      </c>
      <c r="N94" s="592"/>
      <c r="O94" s="592"/>
      <c r="P94" s="592"/>
      <c r="Q94" s="592"/>
      <c r="R94" s="56" t="s">
        <v>5</v>
      </c>
      <c r="S94" s="832" t="s">
        <v>2230</v>
      </c>
      <c r="T94" s="56" t="s">
        <v>976</v>
      </c>
      <c r="U94" s="730" t="s">
        <v>1736</v>
      </c>
      <c r="V94" s="834" t="s">
        <v>2263</v>
      </c>
      <c r="W94" s="173" t="s">
        <v>993</v>
      </c>
      <c r="X94" s="56" t="s">
        <v>994</v>
      </c>
      <c r="Y94" s="832" t="s">
        <v>1932</v>
      </c>
      <c r="Z94" s="56"/>
      <c r="AA94" s="832"/>
      <c r="AB94" s="56"/>
      <c r="AC94" s="56"/>
      <c r="AD94" s="173" t="s">
        <v>1158</v>
      </c>
      <c r="AE94" s="173" t="s">
        <v>1962</v>
      </c>
      <c r="AF94" s="56" t="s">
        <v>1211</v>
      </c>
      <c r="AG94" s="56" t="s">
        <v>1963</v>
      </c>
      <c r="AH94" s="56" t="s">
        <v>985</v>
      </c>
      <c r="AI94" s="56"/>
      <c r="AJ94" s="173" t="s">
        <v>985</v>
      </c>
      <c r="AK94" s="173"/>
      <c r="AL94" s="197" t="s">
        <v>985</v>
      </c>
      <c r="AM94" s="56" t="s">
        <v>978</v>
      </c>
      <c r="AN94" s="56" t="s">
        <v>992</v>
      </c>
      <c r="AO94" s="832" t="s">
        <v>1904</v>
      </c>
      <c r="AP94" s="832" t="s">
        <v>2264</v>
      </c>
      <c r="AQ94" s="832" t="s">
        <v>2265</v>
      </c>
      <c r="AS94" s="57">
        <v>1550</v>
      </c>
      <c r="AT94" s="58"/>
      <c r="AU94" s="444">
        <v>7</v>
      </c>
      <c r="AV94" s="405"/>
      <c r="AW94" s="405">
        <f>VLOOKUP(Таблица7[[#This Row],[Основное оружие]], Оружие[#All], 2, 0)</f>
        <v>1</v>
      </c>
      <c r="AX94" s="405" t="str">
        <f>IF(ISBLANK(Таблица7[[#This Row],[Дополнительное оружие]]),"", VLOOKUP(Таблица7[[#This Row],[Дополнительное оружие]], Оружие[#All], 2, 0))</f>
        <v/>
      </c>
      <c r="AY9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9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94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4" s="405">
        <f>VLOOKUP(Таблица7[[#This Row],[Основное оружие]], Оружие[#All], 3, 0)</f>
        <v>1</v>
      </c>
      <c r="BC94" s="405" t="str">
        <f>IF(ISBLANK(Таблица7[[#This Row],[Дополнительное оружие]]),"", VLOOKUP(Таблица7[[#This Row],[Дополнительное оружие]], Оружие[#All], 3, 0))</f>
        <v/>
      </c>
      <c r="BD9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9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9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9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9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4" s="405">
        <f>Таблица7[[#This Row],[Броня]]+Таблица7[[#This Row],[Щит]]+Таблица7[[#This Row],[навык защиты]]</f>
        <v>18</v>
      </c>
      <c r="BK94" s="1006"/>
      <c r="BL94" s="1006"/>
      <c r="BM94" s="378"/>
      <c r="BN94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94" s="378">
        <v>3</v>
      </c>
      <c r="BP94" s="378">
        <v>-1</v>
      </c>
      <c r="BQ94" s="378">
        <v>-2</v>
      </c>
      <c r="BR94" s="378">
        <v>-2</v>
      </c>
      <c r="BS94" s="378">
        <v>2</v>
      </c>
      <c r="BT94" s="378">
        <v>12</v>
      </c>
      <c r="BU94" s="974" t="s">
        <v>1841</v>
      </c>
      <c r="BV94" s="974" t="s">
        <v>1844</v>
      </c>
      <c r="BW94" s="378"/>
      <c r="BX94" s="378"/>
      <c r="BY94" s="378"/>
      <c r="BZ94" s="59"/>
    </row>
    <row r="95" spans="1:78" s="57" customFormat="1" ht="40.5" customHeight="1" x14ac:dyDescent="0.25">
      <c r="A95" s="333">
        <v>94</v>
      </c>
      <c r="B95" s="566" t="s">
        <v>1711</v>
      </c>
      <c r="C95" s="832" t="s">
        <v>2278</v>
      </c>
      <c r="D95" s="56" t="s">
        <v>1556</v>
      </c>
      <c r="E95" s="56" t="s">
        <v>1448</v>
      </c>
      <c r="F95" s="56"/>
      <c r="G95" s="56"/>
      <c r="H95" s="56"/>
      <c r="I95" s="639">
        <v>1</v>
      </c>
      <c r="J95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95" s="591">
        <f>Таблица7[[#This Row],[Размер отряда минимум]]*1.25</f>
        <v>112.5</v>
      </c>
      <c r="L95" s="591">
        <f>Таблица7[[#This Row],[Размер отряда норма]]*1.5</f>
        <v>168.75</v>
      </c>
      <c r="M95" s="592">
        <f>Таблица7[[#This Row],[Размер отряда минимум]]*2.5</f>
        <v>225</v>
      </c>
      <c r="N95" s="592"/>
      <c r="O95" s="592"/>
      <c r="P95" s="592"/>
      <c r="Q95" s="592"/>
      <c r="R95" s="56" t="s">
        <v>5</v>
      </c>
      <c r="S95" s="832" t="s">
        <v>2230</v>
      </c>
      <c r="T95" s="56" t="s">
        <v>975</v>
      </c>
      <c r="U95" s="833" t="s">
        <v>1737</v>
      </c>
      <c r="V95" s="834" t="s">
        <v>2273</v>
      </c>
      <c r="W95" s="173" t="s">
        <v>993</v>
      </c>
      <c r="X95" s="56" t="s">
        <v>996</v>
      </c>
      <c r="Y95" s="832" t="s">
        <v>1973</v>
      </c>
      <c r="Z95" s="56"/>
      <c r="AA95" s="56"/>
      <c r="AB95" s="56"/>
      <c r="AC95" s="56"/>
      <c r="AD95" s="173" t="s">
        <v>1158</v>
      </c>
      <c r="AE95" s="173" t="s">
        <v>1962</v>
      </c>
      <c r="AF95" s="56" t="s">
        <v>1211</v>
      </c>
      <c r="AG95" s="56" t="s">
        <v>1963</v>
      </c>
      <c r="AH95" s="56" t="s">
        <v>985</v>
      </c>
      <c r="AI95" s="56"/>
      <c r="AJ95" s="173" t="s">
        <v>985</v>
      </c>
      <c r="AK95" s="173"/>
      <c r="AL95" s="197" t="s">
        <v>985</v>
      </c>
      <c r="AM95" s="56" t="s">
        <v>978</v>
      </c>
      <c r="AN95" s="56" t="s">
        <v>992</v>
      </c>
      <c r="AO95" s="832" t="s">
        <v>1904</v>
      </c>
      <c r="AP95" s="832" t="s">
        <v>1050</v>
      </c>
      <c r="AQ95" s="832" t="s">
        <v>2274</v>
      </c>
      <c r="AS95" s="57">
        <v>1500</v>
      </c>
      <c r="AT95" s="58">
        <v>1550</v>
      </c>
      <c r="AU95" s="405">
        <v>7</v>
      </c>
      <c r="AV95" s="405"/>
      <c r="AW95" s="405">
        <f>VLOOKUP(Таблица7[[#This Row],[Основное оружие]], Оружие[#All], 2, 0)</f>
        <v>7</v>
      </c>
      <c r="AX95" s="405" t="str">
        <f>IF(ISBLANK(Таблица7[[#This Row],[Дополнительное оружие]]),"", VLOOKUP(Таблица7[[#This Row],[Дополнительное оружие]], Оружие[#All], 2, 0))</f>
        <v/>
      </c>
      <c r="AY9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9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9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5" s="405">
        <f>VLOOKUP(Таблица7[[#This Row],[Основное оружие]], Оружие[#All], 3, 0)</f>
        <v>3</v>
      </c>
      <c r="BC95" s="405" t="str">
        <f>IF(ISBLANK(Таблица7[[#This Row],[Дополнительное оружие]]),"", VLOOKUP(Таблица7[[#This Row],[Дополнительное оружие]], Оружие[#All], 3, 0))</f>
        <v/>
      </c>
      <c r="BD9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9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9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9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9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5" s="405">
        <f>Таблица7[[#This Row],[Броня]]+Таблица7[[#This Row],[Щит]]+Таблица7[[#This Row],[навык защиты]]</f>
        <v>20</v>
      </c>
      <c r="BK95" s="1006"/>
      <c r="BL95" s="1006"/>
      <c r="BM95" s="378"/>
      <c r="BN95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95" s="378">
        <v>3</v>
      </c>
      <c r="BP95" s="378">
        <v>0</v>
      </c>
      <c r="BQ95" s="378">
        <v>-2</v>
      </c>
      <c r="BR95" s="378">
        <v>-1</v>
      </c>
      <c r="BS95" s="378">
        <v>2</v>
      </c>
      <c r="BT95" s="378">
        <v>12</v>
      </c>
      <c r="BU95" s="974" t="s">
        <v>1841</v>
      </c>
      <c r="BV95" s="974" t="s">
        <v>1844</v>
      </c>
      <c r="BW95" s="378"/>
      <c r="BX95" s="378"/>
      <c r="BY95" s="378"/>
      <c r="BZ95" s="59"/>
    </row>
    <row r="96" spans="1:78" s="57" customFormat="1" ht="40.5" customHeight="1" x14ac:dyDescent="0.25">
      <c r="A96" s="333">
        <v>95</v>
      </c>
      <c r="B96" s="566" t="s">
        <v>1712</v>
      </c>
      <c r="C96" s="832" t="s">
        <v>2237</v>
      </c>
      <c r="D96" s="56" t="s">
        <v>1556</v>
      </c>
      <c r="E96" s="56" t="s">
        <v>1561</v>
      </c>
      <c r="F96" s="56"/>
      <c r="G96" s="56"/>
      <c r="H96" s="56"/>
      <c r="I96" s="639">
        <v>1</v>
      </c>
      <c r="J96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96" s="591">
        <f>Таблица7[[#This Row],[Размер отряда минимум]]*1.25</f>
        <v>112.5</v>
      </c>
      <c r="L96" s="591">
        <f>Таблица7[[#This Row],[Размер отряда норма]]*1.5</f>
        <v>168.75</v>
      </c>
      <c r="M96" s="592">
        <f>Таблица7[[#This Row],[Размер отряда минимум]]*2.5</f>
        <v>225</v>
      </c>
      <c r="N96" s="592"/>
      <c r="O96" s="592"/>
      <c r="P96" s="592"/>
      <c r="Q96" s="592"/>
      <c r="R96" s="56" t="s">
        <v>5</v>
      </c>
      <c r="S96" s="832" t="s">
        <v>2230</v>
      </c>
      <c r="T96" s="56" t="s">
        <v>975</v>
      </c>
      <c r="U96" s="730" t="s">
        <v>1738</v>
      </c>
      <c r="V96" s="834" t="s">
        <v>2275</v>
      </c>
      <c r="W96" s="173" t="s">
        <v>993</v>
      </c>
      <c r="X96" s="56" t="s">
        <v>994</v>
      </c>
      <c r="Y96" s="832" t="s">
        <v>1932</v>
      </c>
      <c r="Z96" s="56"/>
      <c r="AA96" s="832"/>
      <c r="AB96" s="56"/>
      <c r="AC96" s="56"/>
      <c r="AD96" s="173" t="s">
        <v>1158</v>
      </c>
      <c r="AE96" s="173" t="s">
        <v>1962</v>
      </c>
      <c r="AF96" s="56" t="s">
        <v>1211</v>
      </c>
      <c r="AG96" s="56" t="s">
        <v>1963</v>
      </c>
      <c r="AH96" s="56" t="s">
        <v>985</v>
      </c>
      <c r="AI96" s="56"/>
      <c r="AJ96" s="173" t="s">
        <v>985</v>
      </c>
      <c r="AK96" s="173"/>
      <c r="AL96" s="197" t="s">
        <v>985</v>
      </c>
      <c r="AM96" s="56" t="s">
        <v>978</v>
      </c>
      <c r="AN96" s="56" t="s">
        <v>992</v>
      </c>
      <c r="AO96" s="832" t="s">
        <v>1904</v>
      </c>
      <c r="AP96" s="56" t="s">
        <v>1046</v>
      </c>
      <c r="AQ96" s="832" t="s">
        <v>2276</v>
      </c>
      <c r="AS96" s="57">
        <v>1500</v>
      </c>
      <c r="AT96" s="58">
        <v>1550</v>
      </c>
      <c r="AU96" s="444">
        <v>7</v>
      </c>
      <c r="AV96" s="405"/>
      <c r="AW96" s="405">
        <f>VLOOKUP(Таблица7[[#This Row],[Основное оружие]], Оружие[#All], 2, 0)</f>
        <v>1</v>
      </c>
      <c r="AX96" s="405" t="str">
        <f>IF(ISBLANK(Таблица7[[#This Row],[Дополнительное оружие]]),"", VLOOKUP(Таблица7[[#This Row],[Дополнительное оружие]], Оружие[#All], 2, 0))</f>
        <v/>
      </c>
      <c r="AY9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9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96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6" s="405">
        <f>VLOOKUP(Таблица7[[#This Row],[Основное оружие]], Оружие[#All], 3, 0)</f>
        <v>1</v>
      </c>
      <c r="BC96" s="405" t="str">
        <f>IF(ISBLANK(Таблица7[[#This Row],[Дополнительное оружие]]),"", VLOOKUP(Таблица7[[#This Row],[Дополнительное оружие]], Оружие[#All], 3, 0))</f>
        <v/>
      </c>
      <c r="BD9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9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9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9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9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6" s="405">
        <f>Таблица7[[#This Row],[Броня]]+Таблица7[[#This Row],[Щит]]+Таблица7[[#This Row],[навык защиты]]</f>
        <v>18</v>
      </c>
      <c r="BK96" s="1006"/>
      <c r="BL96" s="1006"/>
      <c r="BM96" s="378"/>
      <c r="BN96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96" s="378">
        <v>3</v>
      </c>
      <c r="BP96" s="378">
        <v>-1</v>
      </c>
      <c r="BQ96" s="378">
        <v>-2</v>
      </c>
      <c r="BR96" s="378">
        <v>-2</v>
      </c>
      <c r="BS96" s="378">
        <v>2</v>
      </c>
      <c r="BT96" s="378">
        <v>12</v>
      </c>
      <c r="BU96" s="974" t="s">
        <v>1841</v>
      </c>
      <c r="BV96" s="974" t="s">
        <v>1844</v>
      </c>
      <c r="BW96" s="378"/>
      <c r="BX96" s="378"/>
      <c r="BY96" s="378"/>
      <c r="BZ96" s="59"/>
    </row>
    <row r="97" spans="1:78" s="57" customFormat="1" ht="40.5" customHeight="1" x14ac:dyDescent="0.25">
      <c r="A97" s="333">
        <v>96</v>
      </c>
      <c r="B97" s="566" t="s">
        <v>1712</v>
      </c>
      <c r="C97" s="832" t="s">
        <v>2237</v>
      </c>
      <c r="D97" s="56" t="s">
        <v>1556</v>
      </c>
      <c r="E97" s="56" t="s">
        <v>1561</v>
      </c>
      <c r="F97" s="56"/>
      <c r="G97" s="56"/>
      <c r="H97" s="56"/>
      <c r="I97" s="639">
        <v>1</v>
      </c>
      <c r="J97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97" s="591">
        <f>Таблица7[[#This Row],[Размер отряда минимум]]*1.25</f>
        <v>125</v>
      </c>
      <c r="L97" s="591">
        <f>Таблица7[[#This Row],[Размер отряда норма]]*1.5</f>
        <v>187.5</v>
      </c>
      <c r="M97" s="592">
        <f>Таблица7[[#This Row],[Размер отряда минимум]]*2.5</f>
        <v>250</v>
      </c>
      <c r="N97" s="592"/>
      <c r="O97" s="592"/>
      <c r="P97" s="592"/>
      <c r="Q97" s="592"/>
      <c r="R97" s="56" t="s">
        <v>5</v>
      </c>
      <c r="S97" s="832" t="s">
        <v>2230</v>
      </c>
      <c r="T97" s="56" t="s">
        <v>976</v>
      </c>
      <c r="U97" s="730" t="s">
        <v>1738</v>
      </c>
      <c r="V97" s="834" t="s">
        <v>2275</v>
      </c>
      <c r="W97" s="173" t="s">
        <v>993</v>
      </c>
      <c r="X97" s="56" t="s">
        <v>994</v>
      </c>
      <c r="Y97" s="832" t="s">
        <v>1932</v>
      </c>
      <c r="Z97" s="56"/>
      <c r="AA97" s="832"/>
      <c r="AB97" s="56"/>
      <c r="AC97" s="56"/>
      <c r="AD97" s="173" t="s">
        <v>1158</v>
      </c>
      <c r="AE97" s="173" t="s">
        <v>1962</v>
      </c>
      <c r="AF97" s="56" t="s">
        <v>1211</v>
      </c>
      <c r="AG97" s="56" t="s">
        <v>1963</v>
      </c>
      <c r="AH97" s="56" t="s">
        <v>985</v>
      </c>
      <c r="AI97" s="56"/>
      <c r="AJ97" s="173" t="s">
        <v>985</v>
      </c>
      <c r="AK97" s="173"/>
      <c r="AL97" s="197" t="s">
        <v>985</v>
      </c>
      <c r="AM97" s="56" t="s">
        <v>978</v>
      </c>
      <c r="AN97" s="56" t="s">
        <v>992</v>
      </c>
      <c r="AO97" s="832" t="s">
        <v>1904</v>
      </c>
      <c r="AP97" s="56" t="s">
        <v>1046</v>
      </c>
      <c r="AQ97" s="832" t="s">
        <v>2276</v>
      </c>
      <c r="AS97" s="57">
        <v>1550</v>
      </c>
      <c r="AT97" s="58"/>
      <c r="AU97" s="444">
        <v>7</v>
      </c>
      <c r="AV97" s="405"/>
      <c r="AW97" s="405">
        <f>VLOOKUP(Таблица7[[#This Row],[Основное оружие]], Оружие[#All], 2, 0)</f>
        <v>1</v>
      </c>
      <c r="AX97" s="405" t="str">
        <f>IF(ISBLANK(Таблица7[[#This Row],[Дополнительное оружие]]),"", VLOOKUP(Таблица7[[#This Row],[Дополнительное оружие]], Оружие[#All], 2, 0))</f>
        <v/>
      </c>
      <c r="AY9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9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97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7" s="405">
        <f>VLOOKUP(Таблица7[[#This Row],[Основное оружие]], Оружие[#All], 3, 0)</f>
        <v>1</v>
      </c>
      <c r="BC97" s="405" t="str">
        <f>IF(ISBLANK(Таблица7[[#This Row],[Дополнительное оружие]]),"", VLOOKUP(Таблица7[[#This Row],[Дополнительное оружие]], Оружие[#All], 3, 0))</f>
        <v/>
      </c>
      <c r="BD9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9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9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9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9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7" s="405">
        <f>Таблица7[[#This Row],[Броня]]+Таблица7[[#This Row],[Щит]]+Таблица7[[#This Row],[навык защиты]]</f>
        <v>18</v>
      </c>
      <c r="BK97" s="1006"/>
      <c r="BL97" s="1006"/>
      <c r="BM97" s="378"/>
      <c r="BN97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97" s="378">
        <v>3</v>
      </c>
      <c r="BP97" s="378">
        <v>-1</v>
      </c>
      <c r="BQ97" s="378">
        <v>-2</v>
      </c>
      <c r="BR97" s="378">
        <v>-2</v>
      </c>
      <c r="BS97" s="378">
        <v>2</v>
      </c>
      <c r="BT97" s="378">
        <v>12</v>
      </c>
      <c r="BU97" s="974" t="s">
        <v>1841</v>
      </c>
      <c r="BV97" s="974" t="s">
        <v>1844</v>
      </c>
      <c r="BW97" s="378"/>
      <c r="BX97" s="378"/>
      <c r="BY97" s="378"/>
      <c r="BZ97" s="59"/>
    </row>
    <row r="98" spans="1:78" s="57" customFormat="1" ht="40.5" customHeight="1" x14ac:dyDescent="0.25">
      <c r="A98" s="333">
        <v>97</v>
      </c>
      <c r="B98" s="566" t="s">
        <v>1713</v>
      </c>
      <c r="C98" s="832" t="s">
        <v>2277</v>
      </c>
      <c r="D98" s="56" t="s">
        <v>1556</v>
      </c>
      <c r="E98" s="56" t="s">
        <v>1448</v>
      </c>
      <c r="F98" s="56"/>
      <c r="G98" s="56"/>
      <c r="H98" s="56"/>
      <c r="I98" s="639">
        <v>1</v>
      </c>
      <c r="J98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98" s="591">
        <f>Таблица7[[#This Row],[Размер отряда минимум]]*1.25</f>
        <v>112.5</v>
      </c>
      <c r="L98" s="591">
        <f>Таблица7[[#This Row],[Размер отряда норма]]*1.5</f>
        <v>168.75</v>
      </c>
      <c r="M98" s="592">
        <f>Таблица7[[#This Row],[Размер отряда минимум]]*2.5</f>
        <v>225</v>
      </c>
      <c r="N98" s="592"/>
      <c r="O98" s="592"/>
      <c r="P98" s="592"/>
      <c r="Q98" s="592"/>
      <c r="R98" s="56" t="s">
        <v>5</v>
      </c>
      <c r="S98" s="832" t="s">
        <v>2230</v>
      </c>
      <c r="T98" s="56" t="s">
        <v>975</v>
      </c>
      <c r="U98" s="833" t="s">
        <v>1739</v>
      </c>
      <c r="V98" s="834" t="s">
        <v>2279</v>
      </c>
      <c r="W98" s="173" t="s">
        <v>993</v>
      </c>
      <c r="X98" s="56" t="s">
        <v>996</v>
      </c>
      <c r="Y98" s="832" t="s">
        <v>1973</v>
      </c>
      <c r="Z98" s="56"/>
      <c r="AA98" s="56"/>
      <c r="AB98" s="56"/>
      <c r="AC98" s="56"/>
      <c r="AD98" s="173" t="s">
        <v>1158</v>
      </c>
      <c r="AE98" s="173" t="s">
        <v>1962</v>
      </c>
      <c r="AF98" s="56" t="s">
        <v>1211</v>
      </c>
      <c r="AG98" s="56" t="s">
        <v>1963</v>
      </c>
      <c r="AH98" s="56" t="s">
        <v>985</v>
      </c>
      <c r="AI98" s="56"/>
      <c r="AJ98" s="173" t="s">
        <v>985</v>
      </c>
      <c r="AK98" s="173"/>
      <c r="AL98" s="197" t="s">
        <v>985</v>
      </c>
      <c r="AM98" s="56" t="s">
        <v>978</v>
      </c>
      <c r="AN98" s="56" t="s">
        <v>992</v>
      </c>
      <c r="AO98" s="832" t="s">
        <v>1904</v>
      </c>
      <c r="AP98" s="56" t="s">
        <v>1047</v>
      </c>
      <c r="AQ98" s="832" t="s">
        <v>2280</v>
      </c>
      <c r="AS98" s="57">
        <v>1500</v>
      </c>
      <c r="AT98" s="58">
        <v>1550</v>
      </c>
      <c r="AU98" s="405">
        <v>7</v>
      </c>
      <c r="AV98" s="405"/>
      <c r="AW98" s="405">
        <f>VLOOKUP(Таблица7[[#This Row],[Основное оружие]], Оружие[#All], 2, 0)</f>
        <v>7</v>
      </c>
      <c r="AX98" s="405" t="str">
        <f>IF(ISBLANK(Таблица7[[#This Row],[Дополнительное оружие]]),"", VLOOKUP(Таблица7[[#This Row],[Дополнительное оружие]], Оружие[#All], 2, 0))</f>
        <v/>
      </c>
      <c r="AY9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9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9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8" s="405">
        <f>VLOOKUP(Таблица7[[#This Row],[Основное оружие]], Оружие[#All], 3, 0)</f>
        <v>3</v>
      </c>
      <c r="BC98" s="405" t="str">
        <f>IF(ISBLANK(Таблица7[[#This Row],[Дополнительное оружие]]),"", VLOOKUP(Таблица7[[#This Row],[Дополнительное оружие]], Оружие[#All], 3, 0))</f>
        <v/>
      </c>
      <c r="BD9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9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9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9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9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8" s="405">
        <f>Таблица7[[#This Row],[Броня]]+Таблица7[[#This Row],[Щит]]+Таблица7[[#This Row],[навык защиты]]</f>
        <v>20</v>
      </c>
      <c r="BK98" s="1006"/>
      <c r="BL98" s="1006"/>
      <c r="BM98" s="378"/>
      <c r="BN98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98" s="378">
        <v>3</v>
      </c>
      <c r="BP98" s="378">
        <v>0</v>
      </c>
      <c r="BQ98" s="378">
        <v>-2</v>
      </c>
      <c r="BR98" s="378">
        <v>-1</v>
      </c>
      <c r="BS98" s="378">
        <v>2</v>
      </c>
      <c r="BT98" s="378">
        <v>12</v>
      </c>
      <c r="BU98" s="974" t="s">
        <v>1841</v>
      </c>
      <c r="BV98" s="974" t="s">
        <v>1844</v>
      </c>
      <c r="BW98" s="378"/>
      <c r="BX98" s="378"/>
      <c r="BY98" s="378"/>
      <c r="BZ98" s="59"/>
    </row>
    <row r="99" spans="1:78" s="57" customFormat="1" ht="40.5" customHeight="1" x14ac:dyDescent="0.25">
      <c r="A99" s="333">
        <v>98</v>
      </c>
      <c r="B99" s="669" t="s">
        <v>1742</v>
      </c>
      <c r="C99" s="832" t="s">
        <v>2281</v>
      </c>
      <c r="D99" s="56" t="s">
        <v>1556</v>
      </c>
      <c r="E99" s="56" t="s">
        <v>1547</v>
      </c>
      <c r="F99" s="56"/>
      <c r="G99" s="56"/>
      <c r="H99" s="56"/>
      <c r="I99" s="639">
        <v>1</v>
      </c>
      <c r="J99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99" s="591">
        <f>Таблица7[[#This Row],[Размер отряда минимум]]*1.25</f>
        <v>100</v>
      </c>
      <c r="L99" s="591">
        <f>Таблица7[[#This Row],[Размер отряда норма]]*1.5</f>
        <v>150</v>
      </c>
      <c r="M99" s="592">
        <f>Таблица7[[#This Row],[Размер отряда минимум]]*2.5</f>
        <v>200</v>
      </c>
      <c r="N99" s="592"/>
      <c r="O99" s="592"/>
      <c r="P99" s="592"/>
      <c r="Q99" s="592"/>
      <c r="R99" s="56" t="s">
        <v>5</v>
      </c>
      <c r="S99" s="832" t="s">
        <v>2230</v>
      </c>
      <c r="T99" s="56" t="s">
        <v>975</v>
      </c>
      <c r="U99" s="833" t="s">
        <v>1741</v>
      </c>
      <c r="V99" s="834" t="s">
        <v>2282</v>
      </c>
      <c r="W99" s="173" t="s">
        <v>993</v>
      </c>
      <c r="X99" s="56" t="s">
        <v>996</v>
      </c>
      <c r="Y99" s="832" t="s">
        <v>1973</v>
      </c>
      <c r="Z99" s="56"/>
      <c r="AA99" s="56"/>
      <c r="AB99" s="56"/>
      <c r="AC99" s="56"/>
      <c r="AD99" s="173" t="s">
        <v>1482</v>
      </c>
      <c r="AE99" s="173" t="s">
        <v>1975</v>
      </c>
      <c r="AF99" s="56" t="s">
        <v>1481</v>
      </c>
      <c r="AG99" s="56" t="s">
        <v>1978</v>
      </c>
      <c r="AH99" s="56" t="s">
        <v>985</v>
      </c>
      <c r="AI99" s="56"/>
      <c r="AJ99" s="56" t="s">
        <v>1004</v>
      </c>
      <c r="AK99" s="832" t="s">
        <v>1952</v>
      </c>
      <c r="AL99" s="197" t="s">
        <v>985</v>
      </c>
      <c r="AM99" s="56" t="s">
        <v>977</v>
      </c>
      <c r="AN99" s="56" t="s">
        <v>992</v>
      </c>
      <c r="AO99" s="832" t="s">
        <v>1904</v>
      </c>
      <c r="AP99" s="56" t="s">
        <v>1043</v>
      </c>
      <c r="AQ99" s="832" t="s">
        <v>2283</v>
      </c>
      <c r="AS99" s="57">
        <v>1500</v>
      </c>
      <c r="AT99" s="58">
        <v>1550</v>
      </c>
      <c r="AU99" s="405">
        <v>8</v>
      </c>
      <c r="AV99" s="405"/>
      <c r="AW99" s="405">
        <f>VLOOKUP(Таблица7[[#This Row],[Основное оружие]], Оружие[#All], 2, 0)</f>
        <v>7</v>
      </c>
      <c r="AX99" s="405" t="str">
        <f>IF(ISBLANK(Таблица7[[#This Row],[Дополнительное оружие]]),"", VLOOKUP(Таблица7[[#This Row],[Дополнительное оружие]], Оружие[#All], 2, 0))</f>
        <v/>
      </c>
      <c r="AY9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9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9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99" s="405">
        <f>VLOOKUP(Таблица7[[#This Row],[Основное оружие]], Оружие[#All], 3, 0)</f>
        <v>3</v>
      </c>
      <c r="BC99" s="405" t="str">
        <f>IF(ISBLANK(Таблица7[[#This Row],[Дополнительное оружие]]),"", VLOOKUP(Таблица7[[#This Row],[Дополнительное оружие]], Оружие[#All], 3, 0))</f>
        <v/>
      </c>
      <c r="BD9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9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9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99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9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9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99" s="405">
        <f>Таблица7[[#This Row],[Броня]]+Таблица7[[#This Row],[Щит]]+Таблица7[[#This Row],[навык защиты]]</f>
        <v>25</v>
      </c>
      <c r="BK99" s="1006"/>
      <c r="BL99" s="1006"/>
      <c r="BM99" s="378"/>
      <c r="BN99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99" s="378">
        <v>3</v>
      </c>
      <c r="BP99" s="378">
        <v>0</v>
      </c>
      <c r="BQ99" s="378">
        <v>-2</v>
      </c>
      <c r="BR99" s="378">
        <v>-1</v>
      </c>
      <c r="BS99" s="378">
        <v>2</v>
      </c>
      <c r="BT99" s="378">
        <v>12</v>
      </c>
      <c r="BU99" s="974" t="s">
        <v>1841</v>
      </c>
      <c r="BV99" s="974" t="s">
        <v>1844</v>
      </c>
      <c r="BW99" s="378"/>
      <c r="BX99" s="378"/>
      <c r="BY99" s="378"/>
      <c r="BZ99" s="59"/>
    </row>
    <row r="100" spans="1:78" s="57" customFormat="1" ht="40.5" customHeight="1" x14ac:dyDescent="0.25">
      <c r="A100" s="333">
        <v>99</v>
      </c>
      <c r="B100" s="669" t="s">
        <v>1742</v>
      </c>
      <c r="C100" s="832" t="s">
        <v>2281</v>
      </c>
      <c r="D100" s="56" t="s">
        <v>1556</v>
      </c>
      <c r="E100" s="56" t="s">
        <v>1547</v>
      </c>
      <c r="F100" s="56"/>
      <c r="G100" s="56"/>
      <c r="H100" s="56"/>
      <c r="I100" s="639">
        <v>1</v>
      </c>
      <c r="J100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100" s="591">
        <f>Таблица7[[#This Row],[Размер отряда минимум]]*1.25</f>
        <v>112.5</v>
      </c>
      <c r="L100" s="591">
        <f>Таблица7[[#This Row],[Размер отряда норма]]*1.5</f>
        <v>168.75</v>
      </c>
      <c r="M100" s="592">
        <f>Таблица7[[#This Row],[Размер отряда минимум]]*2.5</f>
        <v>225</v>
      </c>
      <c r="N100" s="592"/>
      <c r="O100" s="592"/>
      <c r="P100" s="592"/>
      <c r="Q100" s="592"/>
      <c r="R100" s="56" t="s">
        <v>5</v>
      </c>
      <c r="S100" s="832" t="s">
        <v>2230</v>
      </c>
      <c r="T100" s="56" t="s">
        <v>976</v>
      </c>
      <c r="U100" s="730" t="s">
        <v>1741</v>
      </c>
      <c r="V100" s="834" t="s">
        <v>2282</v>
      </c>
      <c r="W100" s="173" t="s">
        <v>993</v>
      </c>
      <c r="X100" s="56" t="s">
        <v>996</v>
      </c>
      <c r="Y100" s="832" t="s">
        <v>1973</v>
      </c>
      <c r="Z100" s="56"/>
      <c r="AA100" s="56"/>
      <c r="AB100" s="56"/>
      <c r="AC100" s="56"/>
      <c r="AD100" s="173" t="s">
        <v>1482</v>
      </c>
      <c r="AE100" s="173" t="s">
        <v>1975</v>
      </c>
      <c r="AF100" s="56" t="s">
        <v>1481</v>
      </c>
      <c r="AG100" s="56" t="s">
        <v>1978</v>
      </c>
      <c r="AH100" s="56" t="s">
        <v>985</v>
      </c>
      <c r="AI100" s="56"/>
      <c r="AJ100" s="56" t="s">
        <v>1048</v>
      </c>
      <c r="AK100" s="56" t="s">
        <v>1953</v>
      </c>
      <c r="AL100" s="197" t="s">
        <v>985</v>
      </c>
      <c r="AM100" s="56" t="s">
        <v>977</v>
      </c>
      <c r="AN100" s="56" t="s">
        <v>992</v>
      </c>
      <c r="AO100" s="832" t="s">
        <v>1904</v>
      </c>
      <c r="AP100" s="56" t="s">
        <v>1043</v>
      </c>
      <c r="AQ100" s="832" t="s">
        <v>2283</v>
      </c>
      <c r="AS100" s="57">
        <v>1550</v>
      </c>
      <c r="AT100" s="58"/>
      <c r="AU100" s="405">
        <v>8</v>
      </c>
      <c r="AV100" s="405"/>
      <c r="AW100" s="405">
        <f>VLOOKUP(Таблица7[[#This Row],[Основное оружие]], Оружие[#All], 2, 0)</f>
        <v>7</v>
      </c>
      <c r="AX100" s="405" t="str">
        <f>IF(ISBLANK(Таблица7[[#This Row],[Дополнительное оружие]]),"", VLOOKUP(Таблица7[[#This Row],[Дополнительное оружие]], Оружие[#All], 2, 0))</f>
        <v/>
      </c>
      <c r="AY10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0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10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00" s="405">
        <f>VLOOKUP(Таблица7[[#This Row],[Основное оружие]], Оружие[#All], 3, 0)</f>
        <v>3</v>
      </c>
      <c r="BC100" s="405" t="str">
        <f>IF(ISBLANK(Таблица7[[#This Row],[Дополнительное оружие]]),"", VLOOKUP(Таблица7[[#This Row],[Дополнительное оружие]], Оружие[#All], 3, 0))</f>
        <v/>
      </c>
      <c r="BD10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0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10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10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0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0" s="405">
        <f>Таблица7[[#This Row],[Броня]]+Таблица7[[#This Row],[Щит]]+Таблица7[[#This Row],[навык защиты]]</f>
        <v>25</v>
      </c>
      <c r="BK100" s="1006"/>
      <c r="BL100" s="1006"/>
      <c r="BM100" s="378"/>
      <c r="BN100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00" s="378">
        <v>3</v>
      </c>
      <c r="BP100" s="378">
        <v>0</v>
      </c>
      <c r="BQ100" s="378">
        <v>-2</v>
      </c>
      <c r="BR100" s="378">
        <v>-1</v>
      </c>
      <c r="BS100" s="378">
        <v>2</v>
      </c>
      <c r="BT100" s="378">
        <v>12</v>
      </c>
      <c r="BU100" s="974" t="s">
        <v>1841</v>
      </c>
      <c r="BV100" s="974" t="s">
        <v>1844</v>
      </c>
      <c r="BW100" s="378"/>
      <c r="BX100" s="378"/>
      <c r="BY100" s="378"/>
      <c r="BZ100" s="59"/>
    </row>
    <row r="101" spans="1:78" s="57" customFormat="1" ht="40.5" customHeight="1" x14ac:dyDescent="0.25">
      <c r="A101" s="333">
        <v>100</v>
      </c>
      <c r="B101" s="832" t="s">
        <v>2285</v>
      </c>
      <c r="C101" s="832" t="s">
        <v>2286</v>
      </c>
      <c r="D101" s="56" t="s">
        <v>1556</v>
      </c>
      <c r="E101" s="56" t="s">
        <v>1562</v>
      </c>
      <c r="F101" s="56"/>
      <c r="G101" s="56"/>
      <c r="H101" s="56"/>
      <c r="I101" s="639">
        <v>1</v>
      </c>
      <c r="J101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101" s="591">
        <f>Таблица7[[#This Row],[Размер отряда минимум]]*1.25</f>
        <v>100</v>
      </c>
      <c r="L101" s="591">
        <f>Таблица7[[#This Row],[Размер отряда норма]]*1.5</f>
        <v>150</v>
      </c>
      <c r="M101" s="592">
        <f>Таблица7[[#This Row],[Размер отряда минимум]]*2.5</f>
        <v>200</v>
      </c>
      <c r="N101" s="592"/>
      <c r="O101" s="592"/>
      <c r="P101" s="592"/>
      <c r="Q101" s="592"/>
      <c r="R101" s="56" t="s">
        <v>5</v>
      </c>
      <c r="S101" s="832" t="s">
        <v>2230</v>
      </c>
      <c r="T101" s="56" t="s">
        <v>975</v>
      </c>
      <c r="U101" s="833" t="s">
        <v>2287</v>
      </c>
      <c r="V101" s="834" t="s">
        <v>2288</v>
      </c>
      <c r="W101" s="173" t="s">
        <v>993</v>
      </c>
      <c r="X101" s="56" t="s">
        <v>994</v>
      </c>
      <c r="Y101" s="832" t="s">
        <v>1932</v>
      </c>
      <c r="Z101" s="56"/>
      <c r="AA101" s="832"/>
      <c r="AB101" s="56"/>
      <c r="AC101" s="56"/>
      <c r="AD101" s="173" t="s">
        <v>1482</v>
      </c>
      <c r="AE101" s="173" t="s">
        <v>1975</v>
      </c>
      <c r="AF101" s="56" t="s">
        <v>1481</v>
      </c>
      <c r="AG101" s="56" t="s">
        <v>1978</v>
      </c>
      <c r="AH101" s="56" t="s">
        <v>985</v>
      </c>
      <c r="AI101" s="56"/>
      <c r="AJ101" s="56" t="s">
        <v>1004</v>
      </c>
      <c r="AK101" s="832" t="s">
        <v>1952</v>
      </c>
      <c r="AL101" s="197" t="s">
        <v>985</v>
      </c>
      <c r="AM101" s="56" t="s">
        <v>977</v>
      </c>
      <c r="AN101" s="56" t="s">
        <v>992</v>
      </c>
      <c r="AO101" s="832" t="s">
        <v>1904</v>
      </c>
      <c r="AP101" s="832" t="s">
        <v>2290</v>
      </c>
      <c r="AQ101" s="832" t="s">
        <v>2289</v>
      </c>
      <c r="AS101" s="57">
        <v>1500</v>
      </c>
      <c r="AT101" s="58">
        <v>1550</v>
      </c>
      <c r="AU101" s="444">
        <v>8</v>
      </c>
      <c r="AV101" s="405"/>
      <c r="AW101" s="405">
        <f>VLOOKUP(Таблица7[[#This Row],[Основное оружие]], Оружие[#All], 2, 0)</f>
        <v>1</v>
      </c>
      <c r="AX101" s="405" t="str">
        <f>IF(ISBLANK(Таблица7[[#This Row],[Дополнительное оружие]]),"", VLOOKUP(Таблица7[[#This Row],[Дополнительное оружие]], Оружие[#All], 2, 0))</f>
        <v/>
      </c>
      <c r="AY10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10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101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01" s="405">
        <f>VLOOKUP(Таблица7[[#This Row],[Основное оружие]], Оружие[#All], 3, 0)</f>
        <v>1</v>
      </c>
      <c r="BC101" s="405" t="str">
        <f>IF(ISBLANK(Таблица7[[#This Row],[Дополнительное оружие]]),"", VLOOKUP(Таблица7[[#This Row],[Дополнительное оружие]], Оружие[#All], 3, 0))</f>
        <v/>
      </c>
      <c r="BD10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0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10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10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0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1" s="405">
        <f>Таблица7[[#This Row],[Броня]]+Таблица7[[#This Row],[Щит]]+Таблица7[[#This Row],[навык защиты]]</f>
        <v>23</v>
      </c>
      <c r="BK101" s="1006"/>
      <c r="BL101" s="1006"/>
      <c r="BM101" s="378"/>
      <c r="BN101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01" s="378">
        <v>3</v>
      </c>
      <c r="BP101" s="378">
        <v>-1</v>
      </c>
      <c r="BQ101" s="378">
        <v>-2</v>
      </c>
      <c r="BR101" s="378">
        <v>-2</v>
      </c>
      <c r="BS101" s="378">
        <v>2</v>
      </c>
      <c r="BT101" s="378">
        <v>12</v>
      </c>
      <c r="BU101" s="974" t="s">
        <v>1841</v>
      </c>
      <c r="BV101" s="974" t="s">
        <v>1844</v>
      </c>
      <c r="BW101" s="378"/>
      <c r="BX101" s="378"/>
      <c r="BY101" s="378"/>
      <c r="BZ101" s="59"/>
    </row>
    <row r="102" spans="1:78" s="57" customFormat="1" ht="40.5" customHeight="1" x14ac:dyDescent="0.25">
      <c r="A102" s="333">
        <v>101</v>
      </c>
      <c r="B102" s="832" t="s">
        <v>2285</v>
      </c>
      <c r="C102" s="832" t="s">
        <v>2286</v>
      </c>
      <c r="D102" s="56" t="s">
        <v>1556</v>
      </c>
      <c r="E102" s="56" t="s">
        <v>1562</v>
      </c>
      <c r="F102" s="56"/>
      <c r="G102" s="56"/>
      <c r="H102" s="56"/>
      <c r="I102" s="639">
        <v>1</v>
      </c>
      <c r="J102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102" s="591">
        <f>Таблица7[[#This Row],[Размер отряда минимум]]*1.25</f>
        <v>112.5</v>
      </c>
      <c r="L102" s="591">
        <f>Таблица7[[#This Row],[Размер отряда норма]]*1.5</f>
        <v>168.75</v>
      </c>
      <c r="M102" s="592">
        <f>Таблица7[[#This Row],[Размер отряда минимум]]*2.5</f>
        <v>225</v>
      </c>
      <c r="N102" s="592"/>
      <c r="O102" s="592"/>
      <c r="P102" s="592"/>
      <c r="Q102" s="592"/>
      <c r="R102" s="56" t="s">
        <v>5</v>
      </c>
      <c r="S102" s="832" t="s">
        <v>2230</v>
      </c>
      <c r="T102" s="56" t="s">
        <v>976</v>
      </c>
      <c r="U102" s="833" t="s">
        <v>2287</v>
      </c>
      <c r="V102" s="834" t="s">
        <v>2288</v>
      </c>
      <c r="W102" s="56" t="s">
        <v>993</v>
      </c>
      <c r="X102" s="56" t="s">
        <v>994</v>
      </c>
      <c r="Y102" s="832" t="s">
        <v>1932</v>
      </c>
      <c r="Z102" s="56"/>
      <c r="AA102" s="832"/>
      <c r="AB102" s="56"/>
      <c r="AC102" s="56"/>
      <c r="AD102" s="173" t="s">
        <v>1482</v>
      </c>
      <c r="AE102" s="173" t="s">
        <v>1975</v>
      </c>
      <c r="AF102" s="56" t="s">
        <v>1481</v>
      </c>
      <c r="AG102" s="56" t="s">
        <v>1978</v>
      </c>
      <c r="AH102" s="56" t="s">
        <v>985</v>
      </c>
      <c r="AI102" s="56"/>
      <c r="AJ102" s="56" t="s">
        <v>1048</v>
      </c>
      <c r="AK102" s="56" t="s">
        <v>1953</v>
      </c>
      <c r="AL102" s="197" t="s">
        <v>985</v>
      </c>
      <c r="AM102" s="56" t="s">
        <v>977</v>
      </c>
      <c r="AN102" s="56" t="s">
        <v>992</v>
      </c>
      <c r="AO102" s="832" t="s">
        <v>1904</v>
      </c>
      <c r="AP102" s="832" t="s">
        <v>2290</v>
      </c>
      <c r="AQ102" s="832" t="s">
        <v>2289</v>
      </c>
      <c r="AS102" s="57">
        <v>1550</v>
      </c>
      <c r="AT102" s="58"/>
      <c r="AU102" s="444">
        <v>8</v>
      </c>
      <c r="AV102" s="405"/>
      <c r="AW102" s="405">
        <f>VLOOKUP(Таблица7[[#This Row],[Основное оружие]], Оружие[#All], 2, 0)</f>
        <v>1</v>
      </c>
      <c r="AX102" s="405" t="str">
        <f>IF(ISBLANK(Таблица7[[#This Row],[Дополнительное оружие]]),"", VLOOKUP(Таблица7[[#This Row],[Дополнительное оружие]], Оружие[#All], 2, 0))</f>
        <v/>
      </c>
      <c r="AY10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10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102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02" s="405">
        <f>VLOOKUP(Таблица7[[#This Row],[Основное оружие]], Оружие[#All], 3, 0)</f>
        <v>1</v>
      </c>
      <c r="BC102" s="405" t="str">
        <f>IF(ISBLANK(Таблица7[[#This Row],[Дополнительное оружие]]),"", VLOOKUP(Таблица7[[#This Row],[Дополнительное оружие]], Оружие[#All], 3, 0))</f>
        <v/>
      </c>
      <c r="BD10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0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10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10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0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2" s="405">
        <f>Таблица7[[#This Row],[Броня]]+Таблица7[[#This Row],[Щит]]+Таблица7[[#This Row],[навык защиты]]</f>
        <v>23</v>
      </c>
      <c r="BK102" s="1006"/>
      <c r="BL102" s="1006"/>
      <c r="BM102" s="378"/>
      <c r="BN102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02" s="378">
        <v>3</v>
      </c>
      <c r="BP102" s="378">
        <v>-1</v>
      </c>
      <c r="BQ102" s="378">
        <v>-2</v>
      </c>
      <c r="BR102" s="378">
        <v>-2</v>
      </c>
      <c r="BS102" s="378">
        <v>2</v>
      </c>
      <c r="BT102" s="378">
        <v>12</v>
      </c>
      <c r="BU102" s="974" t="s">
        <v>1841</v>
      </c>
      <c r="BV102" s="974" t="s">
        <v>1844</v>
      </c>
      <c r="BW102" s="378"/>
      <c r="BX102" s="378"/>
      <c r="BY102" s="378"/>
      <c r="BZ102" s="59"/>
    </row>
    <row r="103" spans="1:78" s="57" customFormat="1" ht="40.5" customHeight="1" x14ac:dyDescent="0.25">
      <c r="A103" s="333">
        <v>102</v>
      </c>
      <c r="B103" s="832" t="s">
        <v>2284</v>
      </c>
      <c r="C103" s="832" t="s">
        <v>2291</v>
      </c>
      <c r="D103" s="56" t="s">
        <v>1556</v>
      </c>
      <c r="E103" s="56" t="s">
        <v>1547</v>
      </c>
      <c r="F103" s="56"/>
      <c r="G103" s="56"/>
      <c r="H103" s="56"/>
      <c r="I103" s="639">
        <v>1</v>
      </c>
      <c r="J103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103" s="591">
        <f>Таблица7[[#This Row],[Размер отряда минимум]]*1.25</f>
        <v>100</v>
      </c>
      <c r="L103" s="591">
        <f>Таблица7[[#This Row],[Размер отряда норма]]*1.5</f>
        <v>150</v>
      </c>
      <c r="M103" s="592">
        <f>Таблица7[[#This Row],[Размер отряда минимум]]*2.5</f>
        <v>200</v>
      </c>
      <c r="N103" s="592"/>
      <c r="O103" s="592"/>
      <c r="P103" s="592"/>
      <c r="Q103" s="592"/>
      <c r="R103" s="56" t="s">
        <v>5</v>
      </c>
      <c r="S103" s="832" t="s">
        <v>2230</v>
      </c>
      <c r="T103" s="56" t="s">
        <v>975</v>
      </c>
      <c r="U103" s="833" t="s">
        <v>2292</v>
      </c>
      <c r="V103" s="834" t="s">
        <v>2293</v>
      </c>
      <c r="W103" s="56" t="s">
        <v>993</v>
      </c>
      <c r="X103" s="56" t="s">
        <v>996</v>
      </c>
      <c r="Y103" s="832" t="s">
        <v>1973</v>
      </c>
      <c r="Z103" s="56"/>
      <c r="AA103" s="56"/>
      <c r="AB103" s="56"/>
      <c r="AC103" s="56"/>
      <c r="AD103" s="173" t="s">
        <v>1482</v>
      </c>
      <c r="AE103" s="173" t="s">
        <v>1975</v>
      </c>
      <c r="AF103" s="56" t="s">
        <v>1481</v>
      </c>
      <c r="AG103" s="56" t="s">
        <v>1978</v>
      </c>
      <c r="AH103" s="56" t="s">
        <v>985</v>
      </c>
      <c r="AI103" s="56"/>
      <c r="AJ103" s="56" t="s">
        <v>1004</v>
      </c>
      <c r="AK103" s="832" t="s">
        <v>1952</v>
      </c>
      <c r="AL103" s="197" t="s">
        <v>985</v>
      </c>
      <c r="AM103" s="56" t="s">
        <v>977</v>
      </c>
      <c r="AN103" s="56" t="s">
        <v>992</v>
      </c>
      <c r="AO103" s="920" t="s">
        <v>1904</v>
      </c>
      <c r="AP103" s="832" t="s">
        <v>1045</v>
      </c>
      <c r="AQ103" s="832" t="s">
        <v>2294</v>
      </c>
      <c r="AS103" s="57">
        <v>1500</v>
      </c>
      <c r="AT103" s="58">
        <v>1550</v>
      </c>
      <c r="AU103" s="405">
        <v>8</v>
      </c>
      <c r="AV103" s="405"/>
      <c r="AW103" s="405">
        <f>VLOOKUP(Таблица7[[#This Row],[Основное оружие]], Оружие[#All], 2, 0)</f>
        <v>7</v>
      </c>
      <c r="AX103" s="405" t="str">
        <f>IF(ISBLANK(Таблица7[[#This Row],[Дополнительное оружие]]),"", VLOOKUP(Таблица7[[#This Row],[Дополнительное оружие]], Оружие[#All], 2, 0))</f>
        <v/>
      </c>
      <c r="AY10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0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10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03" s="405">
        <f>VLOOKUP(Таблица7[[#This Row],[Основное оружие]], Оружие[#All], 3, 0)</f>
        <v>3</v>
      </c>
      <c r="BC103" s="405" t="str">
        <f>IF(ISBLANK(Таблица7[[#This Row],[Дополнительное оружие]]),"", VLOOKUP(Таблица7[[#This Row],[Дополнительное оружие]], Оружие[#All], 3, 0))</f>
        <v/>
      </c>
      <c r="BD10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0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10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10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0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3" s="405">
        <f>Таблица7[[#This Row],[Броня]]+Таблица7[[#This Row],[Щит]]+Таблица7[[#This Row],[навык защиты]]</f>
        <v>25</v>
      </c>
      <c r="BK103" s="1006"/>
      <c r="BL103" s="1006"/>
      <c r="BM103" s="378"/>
      <c r="BN103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03" s="378">
        <v>3</v>
      </c>
      <c r="BP103" s="378">
        <v>0</v>
      </c>
      <c r="BQ103" s="378">
        <v>-2</v>
      </c>
      <c r="BR103" s="378">
        <v>-1</v>
      </c>
      <c r="BS103" s="378">
        <v>2</v>
      </c>
      <c r="BT103" s="378">
        <v>12</v>
      </c>
      <c r="BU103" s="974" t="s">
        <v>1841</v>
      </c>
      <c r="BV103" s="974" t="s">
        <v>1844</v>
      </c>
      <c r="BW103" s="378"/>
      <c r="BX103" s="378"/>
      <c r="BY103" s="378"/>
      <c r="BZ103" s="59"/>
    </row>
    <row r="104" spans="1:78" s="57" customFormat="1" ht="40.5" customHeight="1" x14ac:dyDescent="0.25">
      <c r="A104" s="333">
        <v>103</v>
      </c>
      <c r="B104" s="832" t="s">
        <v>2284</v>
      </c>
      <c r="C104" s="832" t="s">
        <v>2291</v>
      </c>
      <c r="D104" s="56" t="s">
        <v>1556</v>
      </c>
      <c r="E104" s="56" t="s">
        <v>1547</v>
      </c>
      <c r="F104" s="56"/>
      <c r="G104" s="56"/>
      <c r="H104" s="56"/>
      <c r="I104" s="639">
        <v>1</v>
      </c>
      <c r="J104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104" s="591">
        <f>Таблица7[[#This Row],[Размер отряда минимум]]*1.25</f>
        <v>112.5</v>
      </c>
      <c r="L104" s="591">
        <f>Таблица7[[#This Row],[Размер отряда норма]]*1.5</f>
        <v>168.75</v>
      </c>
      <c r="M104" s="592">
        <f>Таблица7[[#This Row],[Размер отряда минимум]]*2.5</f>
        <v>225</v>
      </c>
      <c r="N104" s="592"/>
      <c r="O104" s="592"/>
      <c r="P104" s="592"/>
      <c r="Q104" s="592"/>
      <c r="R104" s="56" t="s">
        <v>5</v>
      </c>
      <c r="S104" s="832" t="s">
        <v>2230</v>
      </c>
      <c r="T104" s="56" t="s">
        <v>976</v>
      </c>
      <c r="U104" s="833" t="s">
        <v>2292</v>
      </c>
      <c r="V104" s="834" t="s">
        <v>2293</v>
      </c>
      <c r="W104" s="56" t="s">
        <v>993</v>
      </c>
      <c r="X104" s="56" t="s">
        <v>996</v>
      </c>
      <c r="Y104" s="832" t="s">
        <v>1973</v>
      </c>
      <c r="Z104" s="56"/>
      <c r="AA104" s="56"/>
      <c r="AB104" s="56"/>
      <c r="AC104" s="56"/>
      <c r="AD104" s="173" t="s">
        <v>1482</v>
      </c>
      <c r="AE104" s="173" t="s">
        <v>1975</v>
      </c>
      <c r="AF104" s="56" t="s">
        <v>1481</v>
      </c>
      <c r="AG104" s="56" t="s">
        <v>1978</v>
      </c>
      <c r="AH104" s="56" t="s">
        <v>985</v>
      </c>
      <c r="AI104" s="56"/>
      <c r="AJ104" s="56" t="s">
        <v>1048</v>
      </c>
      <c r="AK104" s="56" t="s">
        <v>1953</v>
      </c>
      <c r="AL104" s="197" t="s">
        <v>985</v>
      </c>
      <c r="AM104" s="56" t="s">
        <v>977</v>
      </c>
      <c r="AN104" s="56" t="s">
        <v>992</v>
      </c>
      <c r="AO104" s="832" t="s">
        <v>1904</v>
      </c>
      <c r="AP104" s="832" t="s">
        <v>1045</v>
      </c>
      <c r="AQ104" s="832" t="s">
        <v>2294</v>
      </c>
      <c r="AS104" s="57">
        <v>1550</v>
      </c>
      <c r="AT104" s="58"/>
      <c r="AU104" s="405">
        <v>8</v>
      </c>
      <c r="AV104" s="405"/>
      <c r="AW104" s="405">
        <f>VLOOKUP(Таблица7[[#This Row],[Основное оружие]], Оружие[#All], 2, 0)</f>
        <v>7</v>
      </c>
      <c r="AX104" s="405" t="str">
        <f>IF(ISBLANK(Таблица7[[#This Row],[Дополнительное оружие]]),"", VLOOKUP(Таблица7[[#This Row],[Дополнительное оружие]], Оружие[#All], 2, 0))</f>
        <v/>
      </c>
      <c r="AY10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0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10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04" s="405">
        <f>VLOOKUP(Таблица7[[#This Row],[Основное оружие]], Оружие[#All], 3, 0)</f>
        <v>3</v>
      </c>
      <c r="BC104" s="405" t="str">
        <f>IF(ISBLANK(Таблица7[[#This Row],[Дополнительное оружие]]),"", VLOOKUP(Таблица7[[#This Row],[Дополнительное оружие]], Оружие[#All], 3, 0))</f>
        <v/>
      </c>
      <c r="BD10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0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10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10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0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4" s="405">
        <f>Таблица7[[#This Row],[Броня]]+Таблица7[[#This Row],[Щит]]+Таблица7[[#This Row],[навык защиты]]</f>
        <v>25</v>
      </c>
      <c r="BK104" s="1006"/>
      <c r="BL104" s="1006"/>
      <c r="BM104" s="378"/>
      <c r="BN104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04" s="378">
        <v>3</v>
      </c>
      <c r="BP104" s="378">
        <v>0</v>
      </c>
      <c r="BQ104" s="378">
        <v>-2</v>
      </c>
      <c r="BR104" s="378">
        <v>-1</v>
      </c>
      <c r="BS104" s="378">
        <v>2</v>
      </c>
      <c r="BT104" s="378">
        <v>12</v>
      </c>
      <c r="BU104" s="974" t="s">
        <v>1841</v>
      </c>
      <c r="BV104" s="974" t="s">
        <v>1844</v>
      </c>
      <c r="BW104" s="378"/>
      <c r="BX104" s="378"/>
      <c r="BY104" s="378"/>
      <c r="BZ104" s="59"/>
    </row>
    <row r="105" spans="1:78" s="57" customFormat="1" ht="40.5" customHeight="1" x14ac:dyDescent="0.25">
      <c r="A105" s="333">
        <v>104</v>
      </c>
      <c r="B105" s="566" t="s">
        <v>1714</v>
      </c>
      <c r="C105" s="832" t="s">
        <v>2295</v>
      </c>
      <c r="D105" s="56" t="s">
        <v>1556</v>
      </c>
      <c r="E105" s="56" t="s">
        <v>1561</v>
      </c>
      <c r="F105" s="56"/>
      <c r="G105" s="56"/>
      <c r="H105" s="56"/>
      <c r="I105" s="639">
        <v>1</v>
      </c>
      <c r="J105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105" s="591">
        <f>Таблица7[[#This Row],[Размер отряда минимум]]*1.25</f>
        <v>112.5</v>
      </c>
      <c r="L105" s="591">
        <f>Таблица7[[#This Row],[Размер отряда норма]]*1.5</f>
        <v>168.75</v>
      </c>
      <c r="M105" s="592">
        <f>Таблица7[[#This Row],[Размер отряда минимум]]*2.5</f>
        <v>225</v>
      </c>
      <c r="N105" s="592"/>
      <c r="O105" s="592"/>
      <c r="P105" s="592"/>
      <c r="Q105" s="592"/>
      <c r="R105" s="56" t="s">
        <v>5</v>
      </c>
      <c r="S105" s="832" t="s">
        <v>2230</v>
      </c>
      <c r="T105" s="56" t="s">
        <v>975</v>
      </c>
      <c r="U105" s="833" t="s">
        <v>1740</v>
      </c>
      <c r="V105" s="834" t="s">
        <v>2296</v>
      </c>
      <c r="W105" s="56" t="s">
        <v>993</v>
      </c>
      <c r="X105" s="56" t="s">
        <v>994</v>
      </c>
      <c r="Y105" s="832" t="s">
        <v>1932</v>
      </c>
      <c r="Z105" s="56"/>
      <c r="AA105" s="832"/>
      <c r="AB105" s="56"/>
      <c r="AC105" s="56"/>
      <c r="AD105" s="173" t="s">
        <v>1158</v>
      </c>
      <c r="AE105" s="173" t="s">
        <v>1962</v>
      </c>
      <c r="AF105" s="56" t="s">
        <v>1211</v>
      </c>
      <c r="AG105" s="56" t="s">
        <v>1963</v>
      </c>
      <c r="AH105" s="56" t="s">
        <v>985</v>
      </c>
      <c r="AI105" s="56"/>
      <c r="AJ105" s="173" t="s">
        <v>985</v>
      </c>
      <c r="AK105" s="173"/>
      <c r="AL105" s="197" t="s">
        <v>985</v>
      </c>
      <c r="AM105" s="56" t="s">
        <v>977</v>
      </c>
      <c r="AN105" s="56" t="s">
        <v>992</v>
      </c>
      <c r="AO105" s="832" t="s">
        <v>1904</v>
      </c>
      <c r="AP105" s="56" t="s">
        <v>1047</v>
      </c>
      <c r="AQ105" s="832" t="s">
        <v>2280</v>
      </c>
      <c r="AS105" s="57">
        <v>1500</v>
      </c>
      <c r="AT105" s="58">
        <v>1550</v>
      </c>
      <c r="AU105" s="444">
        <v>7</v>
      </c>
      <c r="AV105" s="405"/>
      <c r="AW105" s="405">
        <f>VLOOKUP(Таблица7[[#This Row],[Основное оружие]], Оружие[#All], 2, 0)</f>
        <v>1</v>
      </c>
      <c r="AX105" s="405" t="str">
        <f>IF(ISBLANK(Таблица7[[#This Row],[Дополнительное оружие]]),"", VLOOKUP(Таблица7[[#This Row],[Дополнительное оружие]], Оружие[#All], 2, 0))</f>
        <v/>
      </c>
      <c r="AY10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10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105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05" s="405">
        <f>VLOOKUP(Таблица7[[#This Row],[Основное оружие]], Оружие[#All], 3, 0)</f>
        <v>1</v>
      </c>
      <c r="BC105" s="405" t="str">
        <f>IF(ISBLANK(Таблица7[[#This Row],[Дополнительное оружие]]),"", VLOOKUP(Таблица7[[#This Row],[Дополнительное оружие]], Оружие[#All], 3, 0))</f>
        <v/>
      </c>
      <c r="BD10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10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10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0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0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5" s="405">
        <f>Таблица7[[#This Row],[Броня]]+Таблица7[[#This Row],[Щит]]+Таблица7[[#This Row],[навык защиты]]</f>
        <v>18</v>
      </c>
      <c r="BK105" s="1006"/>
      <c r="BL105" s="1006"/>
      <c r="BM105" s="378"/>
      <c r="BN105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05" s="378">
        <v>3</v>
      </c>
      <c r="BP105" s="378">
        <v>-1</v>
      </c>
      <c r="BQ105" s="378">
        <v>-2</v>
      </c>
      <c r="BR105" s="378">
        <v>-2</v>
      </c>
      <c r="BS105" s="378">
        <v>2</v>
      </c>
      <c r="BT105" s="378">
        <v>12</v>
      </c>
      <c r="BU105" s="974" t="s">
        <v>1841</v>
      </c>
      <c r="BV105" s="974" t="s">
        <v>1844</v>
      </c>
      <c r="BW105" s="378"/>
      <c r="BX105" s="378"/>
      <c r="BY105" s="378"/>
      <c r="BZ105" s="59"/>
    </row>
    <row r="106" spans="1:78" s="57" customFormat="1" ht="40.5" customHeight="1" x14ac:dyDescent="0.25">
      <c r="A106" s="333">
        <v>105</v>
      </c>
      <c r="B106" s="566" t="s">
        <v>1714</v>
      </c>
      <c r="C106" s="832" t="s">
        <v>2295</v>
      </c>
      <c r="D106" s="56" t="s">
        <v>1556</v>
      </c>
      <c r="E106" s="56" t="s">
        <v>1561</v>
      </c>
      <c r="F106" s="56"/>
      <c r="G106" s="56"/>
      <c r="H106" s="56"/>
      <c r="I106" s="639">
        <v>1</v>
      </c>
      <c r="J106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106" s="591">
        <f>Таблица7[[#This Row],[Размер отряда минимум]]*1.25</f>
        <v>125</v>
      </c>
      <c r="L106" s="591">
        <f>Таблица7[[#This Row],[Размер отряда норма]]*1.5</f>
        <v>187.5</v>
      </c>
      <c r="M106" s="592">
        <f>Таблица7[[#This Row],[Размер отряда минимум]]*2.5</f>
        <v>250</v>
      </c>
      <c r="N106" s="592"/>
      <c r="O106" s="592"/>
      <c r="P106" s="592"/>
      <c r="Q106" s="592"/>
      <c r="R106" s="56" t="s">
        <v>5</v>
      </c>
      <c r="S106" s="832" t="s">
        <v>2230</v>
      </c>
      <c r="T106" s="56" t="s">
        <v>976</v>
      </c>
      <c r="U106" s="833" t="s">
        <v>1740</v>
      </c>
      <c r="V106" s="834" t="s">
        <v>2296</v>
      </c>
      <c r="W106" s="56" t="s">
        <v>993</v>
      </c>
      <c r="X106" s="56" t="s">
        <v>994</v>
      </c>
      <c r="Y106" s="832" t="s">
        <v>1932</v>
      </c>
      <c r="Z106" s="56"/>
      <c r="AA106" s="832"/>
      <c r="AB106" s="56"/>
      <c r="AC106" s="56"/>
      <c r="AD106" s="173" t="s">
        <v>1158</v>
      </c>
      <c r="AE106" s="173" t="s">
        <v>1962</v>
      </c>
      <c r="AF106" s="56" t="s">
        <v>1211</v>
      </c>
      <c r="AG106" s="56" t="s">
        <v>1963</v>
      </c>
      <c r="AH106" s="56" t="s">
        <v>985</v>
      </c>
      <c r="AI106" s="56"/>
      <c r="AJ106" s="173" t="s">
        <v>985</v>
      </c>
      <c r="AK106" s="173"/>
      <c r="AL106" s="197" t="s">
        <v>985</v>
      </c>
      <c r="AM106" s="56" t="s">
        <v>977</v>
      </c>
      <c r="AN106" s="56" t="s">
        <v>992</v>
      </c>
      <c r="AO106" s="870" t="s">
        <v>1904</v>
      </c>
      <c r="AP106" s="56" t="s">
        <v>1047</v>
      </c>
      <c r="AQ106" s="832" t="s">
        <v>2280</v>
      </c>
      <c r="AS106" s="57">
        <v>1550</v>
      </c>
      <c r="AT106" s="58"/>
      <c r="AU106" s="444">
        <v>7</v>
      </c>
      <c r="AV106" s="405"/>
      <c r="AW106" s="405">
        <f>VLOOKUP(Таблица7[[#This Row],[Основное оружие]], Оружие[#All], 2, 0)</f>
        <v>1</v>
      </c>
      <c r="AX106" s="405" t="str">
        <f>IF(ISBLANK(Таблица7[[#This Row],[Дополнительное оружие]]),"", VLOOKUP(Таблица7[[#This Row],[Дополнительное оружие]], Оружие[#All], 2, 0))</f>
        <v/>
      </c>
      <c r="AY10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10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106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06" s="405">
        <f>VLOOKUP(Таблица7[[#This Row],[Основное оружие]], Оружие[#All], 3, 0)</f>
        <v>1</v>
      </c>
      <c r="BC106" s="405" t="str">
        <f>IF(ISBLANK(Таблица7[[#This Row],[Дополнительное оружие]]),"", VLOOKUP(Таблица7[[#This Row],[Дополнительное оружие]], Оружие[#All], 3, 0))</f>
        <v/>
      </c>
      <c r="BD10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10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10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0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0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6" s="405">
        <f>Таблица7[[#This Row],[Броня]]+Таблица7[[#This Row],[Щит]]+Таблица7[[#This Row],[навык защиты]]</f>
        <v>18</v>
      </c>
      <c r="BK106" s="1006"/>
      <c r="BL106" s="1006"/>
      <c r="BM106" s="378"/>
      <c r="BN106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06" s="378">
        <v>3</v>
      </c>
      <c r="BP106" s="378">
        <v>-1</v>
      </c>
      <c r="BQ106" s="378">
        <v>-2</v>
      </c>
      <c r="BR106" s="378">
        <v>-2</v>
      </c>
      <c r="BS106" s="378">
        <v>2</v>
      </c>
      <c r="BT106" s="378">
        <v>12</v>
      </c>
      <c r="BU106" s="974" t="s">
        <v>1841</v>
      </c>
      <c r="BV106" s="974" t="s">
        <v>1844</v>
      </c>
      <c r="BW106" s="378"/>
      <c r="BX106" s="378"/>
      <c r="BY106" s="378"/>
      <c r="BZ106" s="59"/>
    </row>
    <row r="107" spans="1:78" s="57" customFormat="1" ht="40.5" customHeight="1" x14ac:dyDescent="0.25">
      <c r="A107" s="333">
        <v>106</v>
      </c>
      <c r="B107" s="669" t="s">
        <v>1744</v>
      </c>
      <c r="C107" s="832" t="s">
        <v>2297</v>
      </c>
      <c r="D107" s="56" t="s">
        <v>1556</v>
      </c>
      <c r="E107" s="56" t="s">
        <v>1547</v>
      </c>
      <c r="F107" s="56"/>
      <c r="G107" s="56"/>
      <c r="H107" s="56"/>
      <c r="I107" s="639">
        <v>0.3</v>
      </c>
      <c r="J107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107" s="591">
        <f>Таблица7[[#This Row],[Размер отряда минимум]]*1.25</f>
        <v>30</v>
      </c>
      <c r="L107" s="591">
        <f>Таблица7[[#This Row],[Размер отряда норма]]*1.5</f>
        <v>45</v>
      </c>
      <c r="M107" s="592">
        <f>Таблица7[[#This Row],[Размер отряда минимум]]*2.5</f>
        <v>60</v>
      </c>
      <c r="N107" s="592"/>
      <c r="O107" s="592"/>
      <c r="P107" s="592"/>
      <c r="Q107" s="592"/>
      <c r="R107" s="56" t="s">
        <v>5</v>
      </c>
      <c r="S107" s="832" t="s">
        <v>2230</v>
      </c>
      <c r="T107" s="56" t="s">
        <v>975</v>
      </c>
      <c r="U107" s="833" t="s">
        <v>1743</v>
      </c>
      <c r="V107" s="834" t="s">
        <v>2298</v>
      </c>
      <c r="W107" s="56" t="s">
        <v>1001</v>
      </c>
      <c r="X107" s="439" t="s">
        <v>987</v>
      </c>
      <c r="Y107" s="439" t="s">
        <v>1925</v>
      </c>
      <c r="Z107" s="60"/>
      <c r="AA107" s="60"/>
      <c r="AB107" s="60"/>
      <c r="AC107" s="60"/>
      <c r="AD107" s="173" t="s">
        <v>1482</v>
      </c>
      <c r="AE107" s="173" t="s">
        <v>1975</v>
      </c>
      <c r="AF107" s="56" t="s">
        <v>1481</v>
      </c>
      <c r="AG107" s="56" t="s">
        <v>1978</v>
      </c>
      <c r="AH107" s="56" t="s">
        <v>985</v>
      </c>
      <c r="AI107" s="56"/>
      <c r="AJ107" s="56" t="s">
        <v>1004</v>
      </c>
      <c r="AK107" s="832" t="s">
        <v>1952</v>
      </c>
      <c r="AL107" s="197" t="s">
        <v>985</v>
      </c>
      <c r="AM107" s="56" t="s">
        <v>977</v>
      </c>
      <c r="AN107" s="60" t="s">
        <v>1117</v>
      </c>
      <c r="AO107" s="920" t="s">
        <v>2313</v>
      </c>
      <c r="AP107" s="832" t="s">
        <v>2299</v>
      </c>
      <c r="AQ107" s="832" t="s">
        <v>2300</v>
      </c>
      <c r="AS107" s="57">
        <v>1500</v>
      </c>
      <c r="AT107" s="58">
        <v>1550</v>
      </c>
      <c r="AU107" s="405">
        <v>8</v>
      </c>
      <c r="AV107" s="405"/>
      <c r="AW107" s="405">
        <f>VLOOKUP(Таблица7[[#This Row],[Основное оружие]], Оружие[#All], 2, 0)</f>
        <v>8</v>
      </c>
      <c r="AX107" s="405" t="str">
        <f>IF(ISBLANK(Таблица7[[#This Row],[Дополнительное оружие]]),"", VLOOKUP(Таблица7[[#This Row],[Дополнительное оружие]], Оружие[#All], 2, 0))</f>
        <v/>
      </c>
      <c r="AY10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0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10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07" s="405">
        <f>VLOOKUP(Таблица7[[#This Row],[Основное оружие]], Оружие[#All], 3, 0)</f>
        <v>8</v>
      </c>
      <c r="BC107" s="405" t="str">
        <f>IF(ISBLANK(Таблица7[[#This Row],[Дополнительное оружие]]),"", VLOOKUP(Таблица7[[#This Row],[Дополнительное оружие]], Оружие[#All], 3, 0))</f>
        <v/>
      </c>
      <c r="BD10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0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10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7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10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0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7" s="405">
        <f>Таблица7[[#This Row],[Броня]]+Таблица7[[#This Row],[Щит]]+Таблица7[[#This Row],[навык защиты]]</f>
        <v>25</v>
      </c>
      <c r="BK107" s="1006"/>
      <c r="BL107" s="1006"/>
      <c r="BM107" s="378"/>
      <c r="BN107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07" s="378">
        <v>3</v>
      </c>
      <c r="BP107" s="378">
        <v>0</v>
      </c>
      <c r="BQ107" s="378">
        <v>-2</v>
      </c>
      <c r="BR107" s="378">
        <v>0</v>
      </c>
      <c r="BS107" s="378">
        <v>2</v>
      </c>
      <c r="BT107" s="378">
        <v>12</v>
      </c>
      <c r="BU107" s="974" t="s">
        <v>1841</v>
      </c>
      <c r="BV107" s="974" t="s">
        <v>1844</v>
      </c>
      <c r="BW107" s="378"/>
      <c r="BX107" s="378"/>
      <c r="BY107" s="378"/>
      <c r="BZ107" s="59"/>
    </row>
    <row r="108" spans="1:78" s="57" customFormat="1" ht="40.5" customHeight="1" x14ac:dyDescent="0.25">
      <c r="A108" s="333">
        <v>107</v>
      </c>
      <c r="B108" s="669" t="s">
        <v>1744</v>
      </c>
      <c r="C108" s="832" t="s">
        <v>2297</v>
      </c>
      <c r="D108" s="56" t="s">
        <v>1556</v>
      </c>
      <c r="E108" s="56" t="s">
        <v>1547</v>
      </c>
      <c r="F108" s="56"/>
      <c r="G108" s="56"/>
      <c r="H108" s="56"/>
      <c r="I108" s="639">
        <v>0.3</v>
      </c>
      <c r="J108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108" s="591">
        <f>Таблица7[[#This Row],[Размер отряда минимум]]*1.25</f>
        <v>33.75</v>
      </c>
      <c r="L108" s="591">
        <f>Таблица7[[#This Row],[Размер отряда норма]]*1.5</f>
        <v>50.625</v>
      </c>
      <c r="M108" s="592">
        <f>Таблица7[[#This Row],[Размер отряда минимум]]*2.5</f>
        <v>67.5</v>
      </c>
      <c r="N108" s="592"/>
      <c r="O108" s="592"/>
      <c r="P108" s="592"/>
      <c r="Q108" s="592"/>
      <c r="R108" s="56" t="s">
        <v>5</v>
      </c>
      <c r="S108" s="832" t="s">
        <v>2230</v>
      </c>
      <c r="T108" s="56" t="s">
        <v>976</v>
      </c>
      <c r="U108" s="730" t="s">
        <v>1743</v>
      </c>
      <c r="V108" s="834" t="s">
        <v>2298</v>
      </c>
      <c r="W108" s="173" t="s">
        <v>1001</v>
      </c>
      <c r="X108" s="439" t="s">
        <v>987</v>
      </c>
      <c r="Y108" s="439" t="s">
        <v>1925</v>
      </c>
      <c r="Z108" s="60"/>
      <c r="AA108" s="60"/>
      <c r="AB108" s="60"/>
      <c r="AC108" s="60"/>
      <c r="AD108" s="173" t="s">
        <v>1482</v>
      </c>
      <c r="AE108" s="173" t="s">
        <v>1975</v>
      </c>
      <c r="AF108" s="56" t="s">
        <v>1481</v>
      </c>
      <c r="AG108" s="56" t="s">
        <v>1978</v>
      </c>
      <c r="AH108" s="56" t="s">
        <v>985</v>
      </c>
      <c r="AI108" s="56"/>
      <c r="AJ108" s="56" t="s">
        <v>1048</v>
      </c>
      <c r="AK108" s="56" t="s">
        <v>1953</v>
      </c>
      <c r="AL108" s="197" t="s">
        <v>985</v>
      </c>
      <c r="AM108" s="56" t="s">
        <v>977</v>
      </c>
      <c r="AN108" s="60" t="s">
        <v>1117</v>
      </c>
      <c r="AO108" s="920" t="s">
        <v>2313</v>
      </c>
      <c r="AP108" s="832" t="s">
        <v>2299</v>
      </c>
      <c r="AQ108" s="832" t="s">
        <v>2300</v>
      </c>
      <c r="AS108" s="57">
        <v>1550</v>
      </c>
      <c r="AT108" s="58"/>
      <c r="AU108" s="405">
        <v>8</v>
      </c>
      <c r="AV108" s="405"/>
      <c r="AW108" s="405">
        <f>VLOOKUP(Таблица7[[#This Row],[Основное оружие]], Оружие[#All], 2, 0)</f>
        <v>8</v>
      </c>
      <c r="AX108" s="405" t="str">
        <f>IF(ISBLANK(Таблица7[[#This Row],[Дополнительное оружие]]),"", VLOOKUP(Таблица7[[#This Row],[Дополнительное оружие]], Оружие[#All], 2, 0))</f>
        <v/>
      </c>
      <c r="AY10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0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10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08" s="405">
        <f>VLOOKUP(Таблица7[[#This Row],[Основное оружие]], Оружие[#All], 3, 0)</f>
        <v>8</v>
      </c>
      <c r="BC108" s="405" t="str">
        <f>IF(ISBLANK(Таблица7[[#This Row],[Дополнительное оружие]]),"", VLOOKUP(Таблица7[[#This Row],[Дополнительное оружие]], Оружие[#All], 3, 0))</f>
        <v/>
      </c>
      <c r="BD10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0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10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10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0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8" s="405">
        <f>Таблица7[[#This Row],[Броня]]+Таблица7[[#This Row],[Щит]]+Таблица7[[#This Row],[навык защиты]]</f>
        <v>25</v>
      </c>
      <c r="BK108" s="1006"/>
      <c r="BL108" s="1006"/>
      <c r="BM108" s="378"/>
      <c r="BN108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08" s="378">
        <v>3</v>
      </c>
      <c r="BP108" s="378">
        <v>0</v>
      </c>
      <c r="BQ108" s="378">
        <v>-2</v>
      </c>
      <c r="BR108" s="378">
        <v>0</v>
      </c>
      <c r="BS108" s="378">
        <v>2</v>
      </c>
      <c r="BT108" s="378">
        <v>12</v>
      </c>
      <c r="BU108" s="974" t="s">
        <v>1841</v>
      </c>
      <c r="BV108" s="974" t="s">
        <v>1844</v>
      </c>
      <c r="BW108" s="378"/>
      <c r="BX108" s="378"/>
      <c r="BY108" s="378"/>
      <c r="BZ108" s="59"/>
    </row>
    <row r="109" spans="1:78" s="57" customFormat="1" ht="40.5" customHeight="1" x14ac:dyDescent="0.25">
      <c r="A109" s="333">
        <v>108</v>
      </c>
      <c r="B109" s="566" t="s">
        <v>1715</v>
      </c>
      <c r="C109" s="832" t="s">
        <v>2301</v>
      </c>
      <c r="D109" s="56" t="s">
        <v>1556</v>
      </c>
      <c r="E109" s="56" t="s">
        <v>1570</v>
      </c>
      <c r="F109" s="56"/>
      <c r="G109" s="56"/>
      <c r="H109" s="56"/>
      <c r="I109" s="639">
        <v>0.2</v>
      </c>
      <c r="J109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109" s="591">
        <f>Таблица7[[#This Row],[Размер отряда минимум]]*1.25</f>
        <v>22.5</v>
      </c>
      <c r="L109" s="591">
        <f>Таблица7[[#This Row],[Размер отряда норма]]*1.5</f>
        <v>33.75</v>
      </c>
      <c r="M109" s="592">
        <f>Таблица7[[#This Row],[Размер отряда минимум]]*2.5</f>
        <v>45</v>
      </c>
      <c r="N109" s="592"/>
      <c r="O109" s="592"/>
      <c r="P109" s="592"/>
      <c r="Q109" s="592"/>
      <c r="R109" s="56" t="s">
        <v>5</v>
      </c>
      <c r="S109" s="832" t="s">
        <v>2230</v>
      </c>
      <c r="T109" s="56" t="s">
        <v>975</v>
      </c>
      <c r="U109" s="833" t="s">
        <v>1745</v>
      </c>
      <c r="V109" s="834" t="s">
        <v>2302</v>
      </c>
      <c r="W109" s="173" t="s">
        <v>1001</v>
      </c>
      <c r="X109" s="319" t="s">
        <v>1469</v>
      </c>
      <c r="Y109" s="832" t="s">
        <v>2056</v>
      </c>
      <c r="Z109" s="319" t="s">
        <v>1036</v>
      </c>
      <c r="AA109" s="832" t="s">
        <v>1929</v>
      </c>
      <c r="AB109" s="319"/>
      <c r="AC109" s="319"/>
      <c r="AD109" s="173" t="s">
        <v>985</v>
      </c>
      <c r="AE109" s="173"/>
      <c r="AF109" s="56" t="s">
        <v>991</v>
      </c>
      <c r="AG109" s="832" t="s">
        <v>1951</v>
      </c>
      <c r="AH109" s="56" t="s">
        <v>985</v>
      </c>
      <c r="AI109" s="56"/>
      <c r="AJ109" s="173" t="s">
        <v>985</v>
      </c>
      <c r="AK109" s="173"/>
      <c r="AL109" s="197" t="s">
        <v>985</v>
      </c>
      <c r="AM109" s="56" t="s">
        <v>935</v>
      </c>
      <c r="AN109" s="870" t="s">
        <v>1906</v>
      </c>
      <c r="AO109" s="832" t="s">
        <v>1905</v>
      </c>
      <c r="AP109" s="56" t="s">
        <v>1042</v>
      </c>
      <c r="AQ109" s="832" t="s">
        <v>2233</v>
      </c>
      <c r="AS109" s="57">
        <v>1500</v>
      </c>
      <c r="AT109" s="58">
        <v>1530</v>
      </c>
      <c r="AU109" s="405">
        <v>2</v>
      </c>
      <c r="AV109" s="405" t="s">
        <v>1826</v>
      </c>
      <c r="AW109" s="405">
        <f>VLOOKUP(Таблица7[[#This Row],[Основное оружие]], Оружие[#All], 2, 0)</f>
        <v>0</v>
      </c>
      <c r="AX109" s="405">
        <f>IF(ISBLANK(Таблица7[[#This Row],[Дополнительное оружие]]),"", VLOOKUP(Таблица7[[#This Row],[Дополнительное оружие]], Оружие[#All], 2, 0))</f>
        <v>5</v>
      </c>
      <c r="AY10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0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0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109" s="405">
        <f>VLOOKUP(Таблица7[[#This Row],[Основное оружие]], Оружие[#All], 3, 0)</f>
        <v>1</v>
      </c>
      <c r="BC109" s="405">
        <f>IF(ISBLANK(Таблица7[[#This Row],[Дополнительное оружие]]),"", VLOOKUP(Таблица7[[#This Row],[Дополнительное оружие]], Оружие[#All], 3, 0))</f>
        <v>3</v>
      </c>
      <c r="BD10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0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10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0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0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0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09" s="405">
        <f>Таблица7[[#This Row],[Броня]]+Таблица7[[#This Row],[Щит]]+Таблица7[[#This Row],[навык защиты]]</f>
        <v>4</v>
      </c>
      <c r="BK109" s="1006"/>
      <c r="BL109" s="1006"/>
      <c r="BM109" s="378"/>
      <c r="BN109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09" s="378">
        <v>3</v>
      </c>
      <c r="BP109" s="378">
        <v>1</v>
      </c>
      <c r="BQ109" s="378">
        <v>-2</v>
      </c>
      <c r="BR109" s="378">
        <v>2</v>
      </c>
      <c r="BS109" s="378">
        <v>2</v>
      </c>
      <c r="BT109" s="378">
        <v>10</v>
      </c>
      <c r="BU109" s="974" t="s">
        <v>1841</v>
      </c>
      <c r="BV109" s="974" t="s">
        <v>1844</v>
      </c>
      <c r="BW109" s="378"/>
      <c r="BX109" s="378"/>
      <c r="BY109" s="378"/>
      <c r="BZ109" s="59"/>
    </row>
    <row r="110" spans="1:78" s="57" customFormat="1" ht="40.5" customHeight="1" x14ac:dyDescent="0.25">
      <c r="A110" s="333">
        <v>109</v>
      </c>
      <c r="B110" s="566" t="s">
        <v>1716</v>
      </c>
      <c r="C110" s="832" t="s">
        <v>2303</v>
      </c>
      <c r="D110" s="56" t="s">
        <v>1555</v>
      </c>
      <c r="E110" s="56" t="s">
        <v>1547</v>
      </c>
      <c r="F110" s="56"/>
      <c r="G110" s="56"/>
      <c r="H110" s="56"/>
      <c r="I110" s="639">
        <v>0.5</v>
      </c>
      <c r="J110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110" s="591">
        <f>Таблица7[[#This Row],[Размер отряда минимум]]*1.25</f>
        <v>12.5</v>
      </c>
      <c r="L110" s="591">
        <f>Таблица7[[#This Row],[Размер отряда норма]]*1.5</f>
        <v>18.75</v>
      </c>
      <c r="M110" s="592">
        <f>Таблица7[[#This Row],[Размер отряда минимум]]*2.5</f>
        <v>25</v>
      </c>
      <c r="N110" s="592"/>
      <c r="O110" s="592"/>
      <c r="P110" s="592"/>
      <c r="Q110" s="592"/>
      <c r="R110" s="56" t="s">
        <v>5</v>
      </c>
      <c r="S110" s="832" t="s">
        <v>2230</v>
      </c>
      <c r="T110" s="56" t="s">
        <v>975</v>
      </c>
      <c r="U110" s="833" t="s">
        <v>1746</v>
      </c>
      <c r="V110" s="867" t="s">
        <v>2304</v>
      </c>
      <c r="W110" s="173" t="s">
        <v>1001</v>
      </c>
      <c r="X110" s="920" t="s">
        <v>2105</v>
      </c>
      <c r="Y110" s="832" t="s">
        <v>2024</v>
      </c>
      <c r="Z110" s="56" t="s">
        <v>1036</v>
      </c>
      <c r="AA110" s="832" t="s">
        <v>1929</v>
      </c>
      <c r="AB110" s="56"/>
      <c r="AC110" s="56"/>
      <c r="AD110" s="173" t="s">
        <v>1004</v>
      </c>
      <c r="AE110" s="833" t="s">
        <v>1952</v>
      </c>
      <c r="AF110" s="56" t="s">
        <v>985</v>
      </c>
      <c r="AG110" s="56"/>
      <c r="AH110" s="56" t="s">
        <v>985</v>
      </c>
      <c r="AI110" s="56"/>
      <c r="AJ110" s="173" t="s">
        <v>985</v>
      </c>
      <c r="AK110" s="173"/>
      <c r="AL110" s="197" t="s">
        <v>1163</v>
      </c>
      <c r="AM110" s="56" t="s">
        <v>935</v>
      </c>
      <c r="AN110" s="56" t="s">
        <v>952</v>
      </c>
      <c r="AO110" s="832" t="s">
        <v>1871</v>
      </c>
      <c r="AP110" s="56" t="s">
        <v>952</v>
      </c>
      <c r="AQ110" s="832" t="s">
        <v>1871</v>
      </c>
      <c r="AS110" s="57">
        <v>1500</v>
      </c>
      <c r="AT110" s="58">
        <v>1565</v>
      </c>
      <c r="AU110" s="405">
        <v>10</v>
      </c>
      <c r="AV110" s="405"/>
      <c r="AW110" s="405">
        <f>VLOOKUP(Таблица7[[#This Row],[Основное оружие]], Оружие[#All], 2, 0)</f>
        <v>2</v>
      </c>
      <c r="AX110" s="405">
        <f>IF(ISBLANK(Таблица7[[#This Row],[Дополнительное оружие]]),"", VLOOKUP(Таблица7[[#This Row],[Дополнительное оружие]], Оружие[#All], 2, 0))</f>
        <v>5</v>
      </c>
      <c r="AY11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1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1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110" s="405">
        <f>VLOOKUP(Таблица7[[#This Row],[Основное оружие]], Оружие[#All], 3, 0)</f>
        <v>10</v>
      </c>
      <c r="BC110" s="405">
        <f>IF(ISBLANK(Таблица7[[#This Row],[Дополнительное оружие]]),"", VLOOKUP(Таблица7[[#This Row],[Дополнительное оружие]], Оружие[#All], 3, 0))</f>
        <v>3</v>
      </c>
      <c r="BD11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11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1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1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1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1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10" s="405">
        <f>Таблица7[[#This Row],[Броня]]+Таблица7[[#This Row],[Щит]]+Таблица7[[#This Row],[навык защиты]]</f>
        <v>29</v>
      </c>
      <c r="BK110" s="1006"/>
      <c r="BL110" s="1006"/>
      <c r="BM110" s="378"/>
      <c r="BN110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10" s="378">
        <v>3</v>
      </c>
      <c r="BP110" s="378">
        <v>-2</v>
      </c>
      <c r="BQ110" s="378">
        <v>0</v>
      </c>
      <c r="BR110" s="378">
        <v>-4</v>
      </c>
      <c r="BS110" s="378">
        <v>-2</v>
      </c>
      <c r="BT110" s="378">
        <v>11</v>
      </c>
      <c r="BU110" s="974" t="s">
        <v>1840</v>
      </c>
      <c r="BV110" s="974" t="s">
        <v>1844</v>
      </c>
      <c r="BW110" s="378"/>
      <c r="BX110" s="378"/>
      <c r="BY110" s="378"/>
      <c r="BZ110" s="59"/>
    </row>
    <row r="111" spans="1:78" s="57" customFormat="1" ht="40.5" customHeight="1" x14ac:dyDescent="0.25">
      <c r="A111" s="333">
        <v>110</v>
      </c>
      <c r="B111" s="566" t="s">
        <v>1716</v>
      </c>
      <c r="C111" s="832" t="s">
        <v>2303</v>
      </c>
      <c r="D111" s="56" t="s">
        <v>1555</v>
      </c>
      <c r="E111" s="56" t="s">
        <v>1547</v>
      </c>
      <c r="F111" s="56"/>
      <c r="G111" s="56"/>
      <c r="H111" s="56"/>
      <c r="I111" s="639">
        <v>0.5</v>
      </c>
      <c r="J111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111" s="591">
        <f>Таблица7[[#This Row],[Размер отряда минимум]]*1.25</f>
        <v>15</v>
      </c>
      <c r="L111" s="591">
        <f>Таблица7[[#This Row],[Размер отряда норма]]*1.5</f>
        <v>22.5</v>
      </c>
      <c r="M111" s="592">
        <f>Таблица7[[#This Row],[Размер отряда минимум]]*2.5</f>
        <v>30</v>
      </c>
      <c r="N111" s="592"/>
      <c r="O111" s="592"/>
      <c r="P111" s="592"/>
      <c r="Q111" s="592"/>
      <c r="R111" s="56" t="s">
        <v>5</v>
      </c>
      <c r="S111" s="832" t="s">
        <v>2230</v>
      </c>
      <c r="T111" s="56" t="s">
        <v>976</v>
      </c>
      <c r="U111" s="730" t="s">
        <v>1746</v>
      </c>
      <c r="V111" s="834" t="s">
        <v>2305</v>
      </c>
      <c r="W111" s="173" t="s">
        <v>1001</v>
      </c>
      <c r="X111" s="771" t="s">
        <v>1950</v>
      </c>
      <c r="Y111" s="832" t="s">
        <v>1949</v>
      </c>
      <c r="Z111" s="354" t="s">
        <v>1440</v>
      </c>
      <c r="AA111" s="832" t="s">
        <v>2020</v>
      </c>
      <c r="AB111" s="56"/>
      <c r="AC111" s="56"/>
      <c r="AD111" s="173" t="s">
        <v>1005</v>
      </c>
      <c r="AE111" s="833" t="s">
        <v>2031</v>
      </c>
      <c r="AF111" s="56" t="s">
        <v>985</v>
      </c>
      <c r="AG111" s="56"/>
      <c r="AH111" s="56" t="s">
        <v>985</v>
      </c>
      <c r="AI111" s="56"/>
      <c r="AJ111" s="173" t="s">
        <v>985</v>
      </c>
      <c r="AK111" s="173"/>
      <c r="AL111" s="197" t="s">
        <v>985</v>
      </c>
      <c r="AM111" s="56" t="s">
        <v>935</v>
      </c>
      <c r="AN111" s="56" t="s">
        <v>952</v>
      </c>
      <c r="AO111" s="832" t="s">
        <v>1871</v>
      </c>
      <c r="AP111" s="56" t="s">
        <v>952</v>
      </c>
      <c r="AQ111" s="832" t="s">
        <v>1871</v>
      </c>
      <c r="AS111" s="57">
        <v>1565</v>
      </c>
      <c r="AT111" s="58"/>
      <c r="AU111" s="405">
        <v>10</v>
      </c>
      <c r="AV111" s="405" t="s">
        <v>1828</v>
      </c>
      <c r="AW111" s="405">
        <f>VLOOKUP(Таблица7[[#This Row],[Основное оружие]], Оружие[#All], 2, 0)</f>
        <v>0</v>
      </c>
      <c r="AX111" s="405">
        <f>IF(ISBLANK(Таблица7[[#This Row],[Дополнительное оружие]]),"", VLOOKUP(Таблица7[[#This Row],[Дополнительное оружие]], Оружие[#All], 2, 0))</f>
        <v>4</v>
      </c>
      <c r="AY11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1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1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11" s="405">
        <f>VLOOKUP(Таблица7[[#This Row],[Основное оружие]], Оружие[#All], 3, 0)</f>
        <v>1</v>
      </c>
      <c r="BC111" s="405">
        <f>IF(ISBLANK(Таблица7[[#This Row],[Дополнительное оружие]]),"", VLOOKUP(Таблица7[[#This Row],[Дополнительное оружие]], Оружие[#All], 3, 0))</f>
        <v>3</v>
      </c>
      <c r="BD11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11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1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1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1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1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11" s="405">
        <f>Таблица7[[#This Row],[Броня]]+Таблица7[[#This Row],[Щит]]+Таблица7[[#This Row],[навык защиты]]</f>
        <v>28</v>
      </c>
      <c r="BK111" s="1006"/>
      <c r="BL111" s="1006"/>
      <c r="BM111" s="378"/>
      <c r="BN111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11" s="378">
        <v>3</v>
      </c>
      <c r="BP111" s="378">
        <v>-2</v>
      </c>
      <c r="BQ111" s="378">
        <v>0</v>
      </c>
      <c r="BR111" s="378">
        <v>-4</v>
      </c>
      <c r="BS111" s="378">
        <v>-2</v>
      </c>
      <c r="BT111" s="378">
        <v>11</v>
      </c>
      <c r="BU111" s="974" t="s">
        <v>1840</v>
      </c>
      <c r="BV111" s="974" t="s">
        <v>1844</v>
      </c>
      <c r="BW111" s="378"/>
      <c r="BX111" s="378"/>
      <c r="BY111" s="378"/>
      <c r="BZ111" s="59"/>
    </row>
    <row r="112" spans="1:78" s="57" customFormat="1" ht="40.5" customHeight="1" x14ac:dyDescent="0.25">
      <c r="A112" s="333">
        <v>111</v>
      </c>
      <c r="B112" s="566" t="s">
        <v>1717</v>
      </c>
      <c r="C112" s="832" t="s">
        <v>2306</v>
      </c>
      <c r="D112" s="56" t="s">
        <v>1556</v>
      </c>
      <c r="E112" s="56" t="s">
        <v>1547</v>
      </c>
      <c r="F112" s="56"/>
      <c r="G112" s="56"/>
      <c r="H112" s="56"/>
      <c r="I112" s="639">
        <v>1</v>
      </c>
      <c r="J112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112" s="591">
        <f>Таблица7[[#This Row],[Размер отряда минимум]]*1.25</f>
        <v>100</v>
      </c>
      <c r="L112" s="591">
        <f>Таблица7[[#This Row],[Размер отряда норма]]*1.5</f>
        <v>150</v>
      </c>
      <c r="M112" s="592">
        <f>Таблица7[[#This Row],[Размер отряда минимум]]*2.5</f>
        <v>200</v>
      </c>
      <c r="N112" s="592"/>
      <c r="O112" s="592"/>
      <c r="P112" s="592"/>
      <c r="Q112" s="592"/>
      <c r="R112" s="56" t="s">
        <v>5</v>
      </c>
      <c r="S112" s="832" t="s">
        <v>2230</v>
      </c>
      <c r="T112" s="56" t="s">
        <v>975</v>
      </c>
      <c r="U112" s="833" t="s">
        <v>1747</v>
      </c>
      <c r="V112" s="834" t="s">
        <v>2312</v>
      </c>
      <c r="W112" s="173" t="s">
        <v>1001</v>
      </c>
      <c r="X112" s="56" t="s">
        <v>1442</v>
      </c>
      <c r="Y112" s="832" t="s">
        <v>2307</v>
      </c>
      <c r="Z112" s="56"/>
      <c r="AA112" s="56"/>
      <c r="AB112" s="56"/>
      <c r="AC112" s="56"/>
      <c r="AD112" s="173" t="s">
        <v>1481</v>
      </c>
      <c r="AE112" s="56" t="s">
        <v>1978</v>
      </c>
      <c r="AF112" s="140" t="s">
        <v>985</v>
      </c>
      <c r="AG112" s="140"/>
      <c r="AH112" s="140" t="s">
        <v>985</v>
      </c>
      <c r="AI112" s="140"/>
      <c r="AJ112" s="56" t="s">
        <v>1004</v>
      </c>
      <c r="AK112" s="832" t="s">
        <v>1952</v>
      </c>
      <c r="AL112" s="197" t="s">
        <v>985</v>
      </c>
      <c r="AM112" s="56" t="s">
        <v>977</v>
      </c>
      <c r="AN112" s="60" t="s">
        <v>1117</v>
      </c>
      <c r="AO112" s="920" t="s">
        <v>2313</v>
      </c>
      <c r="AP112" s="920" t="s">
        <v>2733</v>
      </c>
      <c r="AQ112" s="920" t="s">
        <v>2734</v>
      </c>
      <c r="AS112" s="57">
        <v>1500</v>
      </c>
      <c r="AT112" s="58">
        <v>1550</v>
      </c>
      <c r="AU112" s="405">
        <v>9</v>
      </c>
      <c r="AV112" s="405"/>
      <c r="AW112" s="405">
        <f>VLOOKUP(Таблица7[[#This Row],[Основное оружие]], Оружие[#All], 2, 0)</f>
        <v>6</v>
      </c>
      <c r="AX112" s="405" t="str">
        <f>IF(ISBLANK(Таблица7[[#This Row],[Дополнительное оружие]]),"", VLOOKUP(Таблица7[[#This Row],[Дополнительное оружие]], Оружие[#All], 2, 0))</f>
        <v/>
      </c>
      <c r="AY11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1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11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12" s="405">
        <f>VLOOKUP(Таблица7[[#This Row],[Основное оружие]], Оружие[#All], 3, 0)</f>
        <v>6</v>
      </c>
      <c r="BC112" s="405" t="str">
        <f>IF(ISBLANK(Таблица7[[#This Row],[Дополнительное оружие]]),"", VLOOKUP(Таблица7[[#This Row],[Дополнительное оружие]], Оружие[#All], 3, 0))</f>
        <v/>
      </c>
      <c r="BD11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19</v>
      </c>
      <c r="BE11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1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1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11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9</v>
      </c>
      <c r="BI11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12" s="405">
        <f>Таблица7[[#This Row],[Броня]]+Таблица7[[#This Row],[Щит]]+Таблица7[[#This Row],[навык защиты]]</f>
        <v>28</v>
      </c>
      <c r="BK112" s="1006"/>
      <c r="BL112" s="1008" t="s">
        <v>1585</v>
      </c>
      <c r="BM112" s="378"/>
      <c r="BN112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12" s="378">
        <v>3</v>
      </c>
      <c r="BP112" s="378">
        <v>0</v>
      </c>
      <c r="BQ112" s="378">
        <v>-2</v>
      </c>
      <c r="BR112" s="378">
        <v>0</v>
      </c>
      <c r="BS112" s="378">
        <v>2</v>
      </c>
      <c r="BT112" s="690" t="s">
        <v>1832</v>
      </c>
      <c r="BU112" s="974" t="s">
        <v>1840</v>
      </c>
      <c r="BV112" s="974" t="s">
        <v>1844</v>
      </c>
      <c r="BW112" s="378"/>
      <c r="BX112" s="378"/>
      <c r="BY112" s="378"/>
      <c r="BZ112" s="59"/>
    </row>
    <row r="113" spans="1:78" s="57" customFormat="1" ht="40.5" customHeight="1" x14ac:dyDescent="0.25">
      <c r="A113" s="333">
        <v>112</v>
      </c>
      <c r="B113" s="566" t="s">
        <v>1717</v>
      </c>
      <c r="C113" s="832" t="s">
        <v>2306</v>
      </c>
      <c r="D113" s="56" t="s">
        <v>1556</v>
      </c>
      <c r="E113" s="56" t="s">
        <v>1562</v>
      </c>
      <c r="F113" s="56"/>
      <c r="G113" s="56"/>
      <c r="H113" s="56"/>
      <c r="I113" s="639">
        <v>1</v>
      </c>
      <c r="J113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113" s="591">
        <f>Таблица7[[#This Row],[Размер отряда минимум]]*1.25</f>
        <v>112.5</v>
      </c>
      <c r="L113" s="591">
        <f>Таблица7[[#This Row],[Размер отряда норма]]*1.5</f>
        <v>168.75</v>
      </c>
      <c r="M113" s="592">
        <f>Таблица7[[#This Row],[Размер отряда минимум]]*2.5</f>
        <v>225</v>
      </c>
      <c r="N113" s="592"/>
      <c r="O113" s="592"/>
      <c r="P113" s="592"/>
      <c r="Q113" s="592"/>
      <c r="R113" s="56" t="s">
        <v>5</v>
      </c>
      <c r="S113" s="832" t="s">
        <v>2230</v>
      </c>
      <c r="T113" s="56" t="s">
        <v>976</v>
      </c>
      <c r="U113" s="833" t="s">
        <v>2308</v>
      </c>
      <c r="V113" s="834" t="s">
        <v>2311</v>
      </c>
      <c r="W113" s="173" t="s">
        <v>1001</v>
      </c>
      <c r="X113" s="832" t="s">
        <v>2309</v>
      </c>
      <c r="Y113" s="56" t="s">
        <v>2310</v>
      </c>
      <c r="Z113" s="56"/>
      <c r="AA113" s="56"/>
      <c r="AB113" s="56"/>
      <c r="AC113" s="56"/>
      <c r="AD113" s="173" t="s">
        <v>1481</v>
      </c>
      <c r="AE113" s="56" t="s">
        <v>1978</v>
      </c>
      <c r="AF113" s="140" t="s">
        <v>985</v>
      </c>
      <c r="AG113" s="140"/>
      <c r="AH113" s="140" t="s">
        <v>985</v>
      </c>
      <c r="AI113" s="140"/>
      <c r="AJ113" s="56" t="s">
        <v>1048</v>
      </c>
      <c r="AK113" s="56" t="s">
        <v>1953</v>
      </c>
      <c r="AL113" s="197" t="s">
        <v>985</v>
      </c>
      <c r="AM113" s="56" t="s">
        <v>977</v>
      </c>
      <c r="AN113" s="60" t="s">
        <v>1117</v>
      </c>
      <c r="AO113" s="832" t="s">
        <v>2313</v>
      </c>
      <c r="AP113" s="920" t="s">
        <v>2733</v>
      </c>
      <c r="AQ113" s="920" t="s">
        <v>2734</v>
      </c>
      <c r="AS113" s="57">
        <v>1550</v>
      </c>
      <c r="AT113" s="58"/>
      <c r="AU113" s="405">
        <v>9</v>
      </c>
      <c r="AV113" s="405"/>
      <c r="AW113" s="405">
        <f>VLOOKUP(Таблица7[[#This Row],[Основное оружие]], Оружие[#All], 2, 0)</f>
        <v>3</v>
      </c>
      <c r="AX113" s="405" t="str">
        <f>IF(ISBLANK(Таблица7[[#This Row],[Дополнительное оружие]]),"", VLOOKUP(Таблица7[[#This Row],[Дополнительное оружие]], Оружие[#All], 2, 0))</f>
        <v/>
      </c>
      <c r="AY11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1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1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13" s="405">
        <f>VLOOKUP(Таблица7[[#This Row],[Основное оружие]], Оружие[#All], 3, 0)</f>
        <v>3</v>
      </c>
      <c r="BC113" s="405" t="str">
        <f>IF(ISBLANK(Таблица7[[#This Row],[Дополнительное оружие]]),"", VLOOKUP(Таблица7[[#This Row],[Дополнительное оружие]], Оружие[#All], 3, 0))</f>
        <v/>
      </c>
      <c r="BD11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19</v>
      </c>
      <c r="BE11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1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1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11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9</v>
      </c>
      <c r="BI11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13" s="405">
        <f>Таблица7[[#This Row],[Броня]]+Таблица7[[#This Row],[Щит]]+Таблица7[[#This Row],[навык защиты]]</f>
        <v>28</v>
      </c>
      <c r="BK113" s="1006"/>
      <c r="BL113" s="1008" t="s">
        <v>1585</v>
      </c>
      <c r="BM113" s="378"/>
      <c r="BN113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13" s="378">
        <v>3</v>
      </c>
      <c r="BP113" s="378">
        <v>0</v>
      </c>
      <c r="BQ113" s="378">
        <v>-2</v>
      </c>
      <c r="BR113" s="378">
        <v>-1</v>
      </c>
      <c r="BS113" s="378">
        <v>2</v>
      </c>
      <c r="BT113" s="690" t="s">
        <v>1832</v>
      </c>
      <c r="BU113" s="974" t="s">
        <v>1840</v>
      </c>
      <c r="BV113" s="974" t="s">
        <v>1844</v>
      </c>
      <c r="BW113" s="378"/>
      <c r="BX113" s="378"/>
      <c r="BY113" s="378"/>
      <c r="BZ113" s="59"/>
    </row>
    <row r="114" spans="1:78" s="62" customFormat="1" ht="40.5" customHeight="1" x14ac:dyDescent="0.25">
      <c r="A114" s="333">
        <v>113</v>
      </c>
      <c r="B114" s="864" t="s">
        <v>2317</v>
      </c>
      <c r="C114" s="864" t="s">
        <v>2319</v>
      </c>
      <c r="D114" s="61" t="s">
        <v>1555</v>
      </c>
      <c r="E114" s="61" t="s">
        <v>1559</v>
      </c>
      <c r="F114" s="61"/>
      <c r="G114" s="61"/>
      <c r="H114" s="61"/>
      <c r="I114" s="647">
        <v>1</v>
      </c>
      <c r="J114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</v>
      </c>
      <c r="K114" s="593">
        <f>Таблица7[[#This Row],[Размер отряда минимум]]*1.25</f>
        <v>40</v>
      </c>
      <c r="L114" s="593">
        <f>Таблица7[[#This Row],[Размер отряда норма]]*1.5</f>
        <v>60</v>
      </c>
      <c r="M114" s="594">
        <f>Таблица7[[#This Row],[Размер отряда минимум]]*2.5</f>
        <v>80</v>
      </c>
      <c r="N114" s="594"/>
      <c r="O114" s="594"/>
      <c r="P114" s="594"/>
      <c r="Q114" s="594"/>
      <c r="R114" s="61" t="s">
        <v>6</v>
      </c>
      <c r="S114" s="900" t="s">
        <v>2318</v>
      </c>
      <c r="T114" s="61" t="s">
        <v>1032</v>
      </c>
      <c r="U114" s="865" t="s">
        <v>2321</v>
      </c>
      <c r="V114" s="866" t="s">
        <v>2320</v>
      </c>
      <c r="W114" s="174" t="s">
        <v>1001</v>
      </c>
      <c r="X114" s="346" t="s">
        <v>1528</v>
      </c>
      <c r="Y114" s="864" t="s">
        <v>2023</v>
      </c>
      <c r="Z114" s="346" t="s">
        <v>1439</v>
      </c>
      <c r="AA114" s="864" t="s">
        <v>2042</v>
      </c>
      <c r="AB114" s="346" t="s">
        <v>1596</v>
      </c>
      <c r="AC114" s="346" t="s">
        <v>1921</v>
      </c>
      <c r="AD114" s="790" t="s">
        <v>1478</v>
      </c>
      <c r="AE114" s="790" t="s">
        <v>1981</v>
      </c>
      <c r="AF114" s="61" t="s">
        <v>1477</v>
      </c>
      <c r="AG114" s="864" t="s">
        <v>2323</v>
      </c>
      <c r="AH114" s="61" t="s">
        <v>985</v>
      </c>
      <c r="AI114" s="61"/>
      <c r="AJ114" s="864" t="s">
        <v>2325</v>
      </c>
      <c r="AK114" s="864" t="s">
        <v>2324</v>
      </c>
      <c r="AL114" s="214" t="s">
        <v>1163</v>
      </c>
      <c r="AM114" s="61" t="s">
        <v>977</v>
      </c>
      <c r="AN114" s="61" t="s">
        <v>1053</v>
      </c>
      <c r="AO114" s="864" t="s">
        <v>2326</v>
      </c>
      <c r="AP114" s="61" t="s">
        <v>1052</v>
      </c>
      <c r="AQ114" s="864" t="s">
        <v>2327</v>
      </c>
      <c r="AS114" s="62">
        <v>1500</v>
      </c>
      <c r="AT114" s="63"/>
      <c r="AU114" s="405">
        <v>10</v>
      </c>
      <c r="AV114" s="405"/>
      <c r="AW114" s="405">
        <f>VLOOKUP(Таблица7[[#This Row],[Основное оружие]], Оружие[#All], 2, 0)</f>
        <v>2</v>
      </c>
      <c r="AX114" s="405">
        <f>IF(ISBLANK(Таблица7[[#This Row],[Дополнительное оружие]]),"", VLOOKUP(Таблица7[[#This Row],[Дополнительное оружие]], Оружие[#All], 2, 0))</f>
        <v>3</v>
      </c>
      <c r="AY11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1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1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14" s="405">
        <f>VLOOKUP(Таблица7[[#This Row],[Основное оружие]], Оружие[#All], 3, 0)</f>
        <v>6</v>
      </c>
      <c r="BC114" s="405">
        <f>IF(ISBLANK(Таблица7[[#This Row],[Дополнительное оружие]]),"", VLOOKUP(Таблица7[[#This Row],[Дополнительное оружие]], Оружие[#All], 3, 0))</f>
        <v>3</v>
      </c>
      <c r="BD11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11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12</v>
      </c>
      <c r="BF11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1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18</v>
      </c>
      <c r="BH11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11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114" s="405">
        <f>Таблица7[[#This Row],[Броня]]+Таблица7[[#This Row],[Щит]]+Таблица7[[#This Row],[навык защиты]]</f>
        <v>27</v>
      </c>
      <c r="BK114" s="1006"/>
      <c r="BL114" s="1006"/>
      <c r="BM114" s="379"/>
      <c r="BN114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14" s="379">
        <v>0</v>
      </c>
      <c r="BP114" s="379">
        <v>-2</v>
      </c>
      <c r="BQ114" s="379">
        <v>0</v>
      </c>
      <c r="BR114" s="379">
        <v>-4</v>
      </c>
      <c r="BS114" s="379">
        <v>-2</v>
      </c>
      <c r="BT114" s="379">
        <v>12</v>
      </c>
      <c r="BU114" s="975" t="s">
        <v>1841</v>
      </c>
      <c r="BV114" s="975" t="s">
        <v>1844</v>
      </c>
      <c r="BW114" s="379"/>
      <c r="BX114" s="379"/>
      <c r="BY114" s="379"/>
      <c r="BZ114" s="64"/>
    </row>
    <row r="115" spans="1:78" s="62" customFormat="1" ht="40.5" customHeight="1" x14ac:dyDescent="0.25">
      <c r="A115" s="333">
        <v>114</v>
      </c>
      <c r="B115" s="864" t="s">
        <v>2330</v>
      </c>
      <c r="C115" s="864" t="s">
        <v>2345</v>
      </c>
      <c r="D115" s="61" t="s">
        <v>1555</v>
      </c>
      <c r="E115" s="61" t="s">
        <v>1558</v>
      </c>
      <c r="F115" s="61"/>
      <c r="G115" s="61"/>
      <c r="H115" s="61"/>
      <c r="I115" s="647">
        <v>1</v>
      </c>
      <c r="J115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115" s="593">
        <f>Таблица7[[#This Row],[Размер отряда минимум]]*1.25</f>
        <v>50</v>
      </c>
      <c r="L115" s="593">
        <f>Таблица7[[#This Row],[Размер отряда норма]]*1.5</f>
        <v>75</v>
      </c>
      <c r="M115" s="594">
        <f>Таблица7[[#This Row],[Размер отряда минимум]]*2.5</f>
        <v>100</v>
      </c>
      <c r="N115" s="594"/>
      <c r="O115" s="594"/>
      <c r="P115" s="594"/>
      <c r="Q115" s="594"/>
      <c r="R115" s="61" t="s">
        <v>6</v>
      </c>
      <c r="S115" s="864" t="s">
        <v>2318</v>
      </c>
      <c r="T115" s="61" t="s">
        <v>1032</v>
      </c>
      <c r="U115" s="865" t="s">
        <v>2334</v>
      </c>
      <c r="V115" s="866" t="s">
        <v>2335</v>
      </c>
      <c r="W115" s="174" t="s">
        <v>1001</v>
      </c>
      <c r="X115" s="61" t="s">
        <v>1528</v>
      </c>
      <c r="Y115" s="864" t="s">
        <v>2023</v>
      </c>
      <c r="Z115" s="61" t="s">
        <v>1439</v>
      </c>
      <c r="AA115" s="864" t="s">
        <v>2042</v>
      </c>
      <c r="AB115" s="61" t="s">
        <v>944</v>
      </c>
      <c r="AC115" s="864" t="s">
        <v>1923</v>
      </c>
      <c r="AD115" s="731" t="s">
        <v>1027</v>
      </c>
      <c r="AE115" s="865" t="s">
        <v>1979</v>
      </c>
      <c r="AF115" s="247" t="s">
        <v>1172</v>
      </c>
      <c r="AG115" s="864" t="s">
        <v>2322</v>
      </c>
      <c r="AH115" s="61" t="s">
        <v>1477</v>
      </c>
      <c r="AI115" s="864" t="s">
        <v>2323</v>
      </c>
      <c r="AJ115" s="174" t="s">
        <v>985</v>
      </c>
      <c r="AK115" s="174"/>
      <c r="AL115" s="214" t="s">
        <v>985</v>
      </c>
      <c r="AM115" s="233" t="s">
        <v>977</v>
      </c>
      <c r="AN115" s="61" t="s">
        <v>1053</v>
      </c>
      <c r="AO115" s="864" t="s">
        <v>2326</v>
      </c>
      <c r="AP115" s="61" t="s">
        <v>1052</v>
      </c>
      <c r="AQ115" s="864" t="s">
        <v>2327</v>
      </c>
      <c r="AS115" s="62">
        <v>1500</v>
      </c>
      <c r="AT115" s="63"/>
      <c r="AU115" s="405">
        <v>10</v>
      </c>
      <c r="AV115" s="405"/>
      <c r="AW115" s="405">
        <f>VLOOKUP(Таблица7[[#This Row],[Основное оружие]], Оружие[#All], 2, 0)</f>
        <v>2</v>
      </c>
      <c r="AX115" s="405">
        <f>IF(ISBLANK(Таблица7[[#This Row],[Дополнительное оружие]]),"", VLOOKUP(Таблица7[[#This Row],[Дополнительное оружие]], Оружие[#All], 2, 0))</f>
        <v>3</v>
      </c>
      <c r="AY11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11</v>
      </c>
      <c r="AZ11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11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115" s="405">
        <f>VLOOKUP(Таблица7[[#This Row],[Основное оружие]], Оружие[#All], 3, 0)</f>
        <v>6</v>
      </c>
      <c r="BC115" s="405">
        <f>IF(ISBLANK(Таблица7[[#This Row],[Дополнительное оружие]]),"", VLOOKUP(Таблица7[[#This Row],[Дополнительное оружие]], Оружие[#All], 3, 0))</f>
        <v>3</v>
      </c>
      <c r="BD11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6</v>
      </c>
      <c r="BE11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15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11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1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11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15" s="405">
        <f>Таблица7[[#This Row],[Броня]]+Таблица7[[#This Row],[Щит]]+Таблица7[[#This Row],[навык защиты]]</f>
        <v>18</v>
      </c>
      <c r="BK115" s="1006"/>
      <c r="BL115" s="1006"/>
      <c r="BM115" s="379"/>
      <c r="BN115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15" s="379">
        <v>0</v>
      </c>
      <c r="BP115" s="379">
        <v>-2</v>
      </c>
      <c r="BQ115" s="379">
        <v>0</v>
      </c>
      <c r="BR115" s="379">
        <v>-4</v>
      </c>
      <c r="BS115" s="379">
        <v>-2</v>
      </c>
      <c r="BT115" s="379">
        <v>12</v>
      </c>
      <c r="BU115" s="975" t="s">
        <v>1841</v>
      </c>
      <c r="BV115" s="975" t="s">
        <v>1844</v>
      </c>
      <c r="BW115" s="379"/>
      <c r="BX115" s="379"/>
      <c r="BY115" s="379"/>
      <c r="BZ115" s="64"/>
    </row>
    <row r="116" spans="1:78" s="62" customFormat="1" ht="40.5" customHeight="1" x14ac:dyDescent="0.25">
      <c r="A116" s="333">
        <v>115</v>
      </c>
      <c r="B116" s="864" t="s">
        <v>2346</v>
      </c>
      <c r="C116" s="864" t="s">
        <v>2331</v>
      </c>
      <c r="D116" s="61" t="s">
        <v>1555</v>
      </c>
      <c r="E116" s="61" t="s">
        <v>1570</v>
      </c>
      <c r="F116" s="61"/>
      <c r="G116" s="61"/>
      <c r="H116" s="61"/>
      <c r="I116" s="647">
        <v>1</v>
      </c>
      <c r="J116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116" s="593">
        <f>Таблица7[[#This Row],[Размер отряда минимум]]*1.25</f>
        <v>50</v>
      </c>
      <c r="L116" s="593">
        <f>Таблица7[[#This Row],[Размер отряда норма]]*1.5</f>
        <v>75</v>
      </c>
      <c r="M116" s="594">
        <f>Таблица7[[#This Row],[Размер отряда минимум]]*2.5</f>
        <v>100</v>
      </c>
      <c r="N116" s="594"/>
      <c r="O116" s="594"/>
      <c r="P116" s="594"/>
      <c r="Q116" s="594"/>
      <c r="R116" s="61" t="s">
        <v>6</v>
      </c>
      <c r="S116" s="864" t="s">
        <v>2318</v>
      </c>
      <c r="T116" s="61" t="s">
        <v>1032</v>
      </c>
      <c r="U116" s="865" t="s">
        <v>2332</v>
      </c>
      <c r="V116" s="866" t="s">
        <v>2333</v>
      </c>
      <c r="W116" s="233" t="s">
        <v>1001</v>
      </c>
      <c r="X116" s="346" t="s">
        <v>1687</v>
      </c>
      <c r="Y116" s="346" t="s">
        <v>1942</v>
      </c>
      <c r="Z116" s="346" t="s">
        <v>1441</v>
      </c>
      <c r="AA116" s="864" t="s">
        <v>1934</v>
      </c>
      <c r="AB116" s="346" t="s">
        <v>944</v>
      </c>
      <c r="AC116" s="864" t="s">
        <v>1923</v>
      </c>
      <c r="AD116" s="747" t="s">
        <v>985</v>
      </c>
      <c r="AE116" s="747"/>
      <c r="AF116" s="233" t="s">
        <v>991</v>
      </c>
      <c r="AG116" s="864" t="s">
        <v>1951</v>
      </c>
      <c r="AH116" s="233" t="s">
        <v>1202</v>
      </c>
      <c r="AI116" s="864" t="s">
        <v>1980</v>
      </c>
      <c r="AJ116" s="233" t="s">
        <v>985</v>
      </c>
      <c r="AK116" s="233"/>
      <c r="AL116" s="234" t="s">
        <v>985</v>
      </c>
      <c r="AM116" s="233" t="s">
        <v>977</v>
      </c>
      <c r="AN116" s="61" t="s">
        <v>1053</v>
      </c>
      <c r="AO116" s="864" t="s">
        <v>2326</v>
      </c>
      <c r="AP116" s="61" t="s">
        <v>1052</v>
      </c>
      <c r="AQ116" s="864" t="s">
        <v>2327</v>
      </c>
      <c r="AS116" s="62">
        <v>1500</v>
      </c>
      <c r="AT116" s="63"/>
      <c r="AU116" s="405">
        <v>9</v>
      </c>
      <c r="AV116" s="405" t="s">
        <v>1828</v>
      </c>
      <c r="AW116" s="405">
        <f>VLOOKUP(Таблица7[[#This Row],[Основное оружие]], Оружие[#All], 2, 0)</f>
        <v>0</v>
      </c>
      <c r="AX116" s="405">
        <f>IF(ISBLANK(Таблица7[[#This Row],[Дополнительное оружие]]),"", VLOOKUP(Таблица7[[#This Row],[Дополнительное оружие]], Оружие[#All], 2, 0))</f>
        <v>4</v>
      </c>
      <c r="AY11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11</v>
      </c>
      <c r="AZ11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1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15</v>
      </c>
      <c r="BB116" s="405">
        <f>VLOOKUP(Таблица7[[#This Row],[Основное оружие]], Оружие[#All], 3, 0)</f>
        <v>1</v>
      </c>
      <c r="BC116" s="405">
        <f>IF(ISBLANK(Таблица7[[#This Row],[Дополнительное оружие]]),"", VLOOKUP(Таблица7[[#This Row],[Дополнительное оружие]], Оружие[#All], 3, 0))</f>
        <v>3</v>
      </c>
      <c r="BD11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1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116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8</v>
      </c>
      <c r="BG11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1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11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16" s="405">
        <f>Таблица7[[#This Row],[Броня]]+Таблица7[[#This Row],[Щит]]+Таблица7[[#This Row],[навык защиты]]</f>
        <v>12</v>
      </c>
      <c r="BK116" s="1008" t="s">
        <v>1589</v>
      </c>
      <c r="BL116" s="1008"/>
      <c r="BM116" s="379"/>
      <c r="BN116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16" s="379">
        <v>0</v>
      </c>
      <c r="BP116" s="379">
        <v>-2</v>
      </c>
      <c r="BQ116" s="379">
        <v>0</v>
      </c>
      <c r="BR116" s="379">
        <v>-4</v>
      </c>
      <c r="BS116" s="379">
        <v>-2</v>
      </c>
      <c r="BT116" s="379">
        <v>12</v>
      </c>
      <c r="BU116" s="975" t="s">
        <v>1841</v>
      </c>
      <c r="BV116" s="975" t="s">
        <v>1844</v>
      </c>
      <c r="BW116" s="379"/>
      <c r="BX116" s="379"/>
      <c r="BY116" s="379"/>
      <c r="BZ116" s="64"/>
    </row>
    <row r="117" spans="1:78" s="62" customFormat="1" ht="40.5" customHeight="1" x14ac:dyDescent="0.25">
      <c r="A117" s="333">
        <v>116</v>
      </c>
      <c r="B117" s="864" t="s">
        <v>2336</v>
      </c>
      <c r="C117" s="864" t="s">
        <v>2337</v>
      </c>
      <c r="D117" s="61" t="s">
        <v>1556</v>
      </c>
      <c r="E117" s="61" t="s">
        <v>1570</v>
      </c>
      <c r="F117" s="61"/>
      <c r="G117" s="61"/>
      <c r="H117" s="61"/>
      <c r="I117" s="647">
        <v>0.5</v>
      </c>
      <c r="J117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117" s="593">
        <f>Таблица7[[#This Row],[Размер отряда минимум]]*1.25</f>
        <v>62.5</v>
      </c>
      <c r="L117" s="593">
        <f>Таблица7[[#This Row],[Размер отряда норма]]*1.5</f>
        <v>93.75</v>
      </c>
      <c r="M117" s="594">
        <f>Таблица7[[#This Row],[Размер отряда минимум]]*2.5</f>
        <v>125</v>
      </c>
      <c r="N117" s="594"/>
      <c r="O117" s="594"/>
      <c r="P117" s="594"/>
      <c r="Q117" s="594"/>
      <c r="R117" s="61" t="s">
        <v>6</v>
      </c>
      <c r="S117" s="864" t="s">
        <v>2318</v>
      </c>
      <c r="T117" s="61" t="s">
        <v>1032</v>
      </c>
      <c r="U117" s="865" t="s">
        <v>2338</v>
      </c>
      <c r="V117" s="866" t="s">
        <v>2339</v>
      </c>
      <c r="W117" s="174" t="s">
        <v>1001</v>
      </c>
      <c r="X117" s="61" t="s">
        <v>1469</v>
      </c>
      <c r="Y117" s="61" t="s">
        <v>2056</v>
      </c>
      <c r="Z117" s="61" t="s">
        <v>1441</v>
      </c>
      <c r="AA117" s="864" t="s">
        <v>1934</v>
      </c>
      <c r="AB117" s="61"/>
      <c r="AC117" s="61"/>
      <c r="AD117" s="731" t="s">
        <v>1027</v>
      </c>
      <c r="AE117" s="865" t="s">
        <v>1979</v>
      </c>
      <c r="AF117" s="247" t="s">
        <v>1202</v>
      </c>
      <c r="AG117" s="864" t="s">
        <v>1980</v>
      </c>
      <c r="AH117" s="61" t="s">
        <v>985</v>
      </c>
      <c r="AI117" s="61"/>
      <c r="AJ117" s="174" t="s">
        <v>985</v>
      </c>
      <c r="AK117" s="174"/>
      <c r="AL117" s="214" t="s">
        <v>985</v>
      </c>
      <c r="AM117" s="61" t="s">
        <v>978</v>
      </c>
      <c r="AN117" s="864" t="s">
        <v>992</v>
      </c>
      <c r="AO117" s="864" t="s">
        <v>1904</v>
      </c>
      <c r="AP117" s="61" t="s">
        <v>1052</v>
      </c>
      <c r="AQ117" s="864" t="s">
        <v>2327</v>
      </c>
      <c r="AS117" s="62">
        <v>1500</v>
      </c>
      <c r="AT117" s="63"/>
      <c r="AU117" s="405">
        <v>3</v>
      </c>
      <c r="AV117" s="405" t="s">
        <v>1827</v>
      </c>
      <c r="AW117" s="405">
        <f>VLOOKUP(Таблица7[[#This Row],[Основное оружие]], Оружие[#All], 2, 0)</f>
        <v>0</v>
      </c>
      <c r="AX117" s="405">
        <f>IF(ISBLANK(Таблица7[[#This Row],[Дополнительное оружие]]),"", VLOOKUP(Таблица7[[#This Row],[Дополнительное оружие]], Оружие[#All], 2, 0))</f>
        <v>4</v>
      </c>
      <c r="AY11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11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1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117" s="405">
        <f>VLOOKUP(Таблица7[[#This Row],[Основное оружие]], Оружие[#All], 3, 0)</f>
        <v>1</v>
      </c>
      <c r="BC117" s="405">
        <f>IF(ISBLANK(Таблица7[[#This Row],[Дополнительное оружие]]),"", VLOOKUP(Таблица7[[#This Row],[Дополнительное оружие]], Оружие[#All], 3, 0))</f>
        <v>3</v>
      </c>
      <c r="BD11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11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10</v>
      </c>
      <c r="BF11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1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1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11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17" s="405">
        <f>Таблица7[[#This Row],[Броня]]+Таблица7[[#This Row],[Щит]]+Таблица7[[#This Row],[навык защиты]]</f>
        <v>12</v>
      </c>
      <c r="BK117" s="1006"/>
      <c r="BL117" s="1006"/>
      <c r="BM117" s="379"/>
      <c r="BN117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17" s="379">
        <v>0</v>
      </c>
      <c r="BP117" s="379">
        <v>1</v>
      </c>
      <c r="BQ117" s="379">
        <v>2</v>
      </c>
      <c r="BR117" s="379">
        <v>2</v>
      </c>
      <c r="BS117" s="379">
        <v>-2</v>
      </c>
      <c r="BT117" s="379">
        <v>6</v>
      </c>
      <c r="BU117" s="975" t="s">
        <v>1839</v>
      </c>
      <c r="BV117" s="975" t="s">
        <v>1843</v>
      </c>
      <c r="BW117" s="379"/>
      <c r="BX117" s="379"/>
      <c r="BY117" s="379"/>
      <c r="BZ117" s="64"/>
    </row>
    <row r="118" spans="1:78" s="62" customFormat="1" ht="40.5" customHeight="1" x14ac:dyDescent="0.25">
      <c r="A118" s="333">
        <v>117</v>
      </c>
      <c r="B118" s="864" t="s">
        <v>2340</v>
      </c>
      <c r="C118" s="931" t="s">
        <v>2341</v>
      </c>
      <c r="D118" s="61" t="s">
        <v>1556</v>
      </c>
      <c r="E118" s="61" t="s">
        <v>1570</v>
      </c>
      <c r="F118" s="61"/>
      <c r="G118" s="61"/>
      <c r="H118" s="61"/>
      <c r="I118" s="647">
        <v>0.5</v>
      </c>
      <c r="J118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118" s="593">
        <f>Таблица7[[#This Row],[Размер отряда минимум]]*1.25</f>
        <v>62.5</v>
      </c>
      <c r="L118" s="593">
        <f>Таблица7[[#This Row],[Размер отряда норма]]*1.5</f>
        <v>93.75</v>
      </c>
      <c r="M118" s="594">
        <f>Таблица7[[#This Row],[Размер отряда минимум]]*2.5</f>
        <v>125</v>
      </c>
      <c r="N118" s="594"/>
      <c r="O118" s="594"/>
      <c r="P118" s="594"/>
      <c r="Q118" s="594"/>
      <c r="R118" s="61" t="s">
        <v>6</v>
      </c>
      <c r="S118" s="864" t="s">
        <v>2318</v>
      </c>
      <c r="T118" s="61" t="s">
        <v>1032</v>
      </c>
      <c r="U118" s="865" t="s">
        <v>2342</v>
      </c>
      <c r="V118" s="866" t="s">
        <v>2343</v>
      </c>
      <c r="W118" s="174" t="s">
        <v>1001</v>
      </c>
      <c r="X118" s="61" t="s">
        <v>1469</v>
      </c>
      <c r="Y118" s="61" t="s">
        <v>2056</v>
      </c>
      <c r="Z118" s="61" t="s">
        <v>1509</v>
      </c>
      <c r="AA118" s="864" t="s">
        <v>1931</v>
      </c>
      <c r="AB118" s="61"/>
      <c r="AC118" s="61"/>
      <c r="AD118" s="174" t="s">
        <v>985</v>
      </c>
      <c r="AE118" s="174"/>
      <c r="AF118" s="61" t="s">
        <v>985</v>
      </c>
      <c r="AG118" s="61"/>
      <c r="AH118" s="61" t="s">
        <v>985</v>
      </c>
      <c r="AI118" s="61"/>
      <c r="AJ118" s="174" t="s">
        <v>985</v>
      </c>
      <c r="AK118" s="174"/>
      <c r="AL118" s="214" t="s">
        <v>985</v>
      </c>
      <c r="AM118" s="61" t="s">
        <v>978</v>
      </c>
      <c r="AN118" s="864" t="s">
        <v>992</v>
      </c>
      <c r="AO118" s="61" t="s">
        <v>1904</v>
      </c>
      <c r="AP118" s="61" t="s">
        <v>1052</v>
      </c>
      <c r="AQ118" s="864" t="s">
        <v>2327</v>
      </c>
      <c r="AS118" s="62">
        <v>1500</v>
      </c>
      <c r="AT118" s="63"/>
      <c r="AU118" s="405">
        <v>1</v>
      </c>
      <c r="AV118" s="405" t="s">
        <v>1828</v>
      </c>
      <c r="AW118" s="405">
        <f>VLOOKUP(Таблица7[[#This Row],[Основное оружие]], Оружие[#All], 2, 0)</f>
        <v>0</v>
      </c>
      <c r="AX118" s="405">
        <f>IF(ISBLANK(Таблица7[[#This Row],[Дополнительное оружие]]),"", VLOOKUP(Таблица7[[#This Row],[Дополнительное оружие]], Оружие[#All], 2, 0))</f>
        <v>3</v>
      </c>
      <c r="AY11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1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1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6</v>
      </c>
      <c r="BB118" s="405">
        <f>VLOOKUP(Таблица7[[#This Row],[Основное оружие]], Оружие[#All], 3, 0)</f>
        <v>1</v>
      </c>
      <c r="BC118" s="405">
        <f>IF(ISBLANK(Таблица7[[#This Row],[Дополнительное оружие]]),"", VLOOKUP(Таблица7[[#This Row],[Дополнительное оружие]], Оружие[#All], 3, 0))</f>
        <v>3</v>
      </c>
      <c r="BD11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1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1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1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1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1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18" s="405">
        <f>Таблица7[[#This Row],[Броня]]+Таблица7[[#This Row],[Щит]]+Таблица7[[#This Row],[навык защиты]]</f>
        <v>3</v>
      </c>
      <c r="BK118" s="1006"/>
      <c r="BL118" s="1006"/>
      <c r="BM118" s="379"/>
      <c r="BN118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18" s="379">
        <v>0</v>
      </c>
      <c r="BP118" s="379">
        <v>1</v>
      </c>
      <c r="BQ118" s="379">
        <v>2</v>
      </c>
      <c r="BR118" s="379">
        <v>2</v>
      </c>
      <c r="BS118" s="379">
        <v>-2</v>
      </c>
      <c r="BT118" s="379">
        <v>6</v>
      </c>
      <c r="BU118" s="975" t="s">
        <v>1839</v>
      </c>
      <c r="BV118" s="975" t="s">
        <v>1843</v>
      </c>
      <c r="BW118" s="379"/>
      <c r="BX118" s="379"/>
      <c r="BY118" s="379"/>
      <c r="BZ118" s="64"/>
    </row>
    <row r="119" spans="1:78" s="62" customFormat="1" ht="40.5" customHeight="1" x14ac:dyDescent="0.25">
      <c r="A119" s="333">
        <v>118</v>
      </c>
      <c r="B119" s="864" t="s">
        <v>2344</v>
      </c>
      <c r="C119" s="864" t="s">
        <v>2347</v>
      </c>
      <c r="D119" s="61" t="s">
        <v>1555</v>
      </c>
      <c r="E119" s="61" t="s">
        <v>1547</v>
      </c>
      <c r="F119" s="61"/>
      <c r="G119" s="61"/>
      <c r="H119" s="61"/>
      <c r="I119" s="647">
        <v>1</v>
      </c>
      <c r="J119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119" s="593">
        <f>Таблица7[[#This Row],[Размер отряда минимум]]*1.25</f>
        <v>30</v>
      </c>
      <c r="L119" s="593">
        <f>Таблица7[[#This Row],[Размер отряда норма]]*1.5</f>
        <v>45</v>
      </c>
      <c r="M119" s="594">
        <f>Таблица7[[#This Row],[Размер отряда минимум]]*2.5</f>
        <v>60</v>
      </c>
      <c r="N119" s="594"/>
      <c r="O119" s="594"/>
      <c r="P119" s="594"/>
      <c r="Q119" s="594"/>
      <c r="R119" s="61" t="s">
        <v>6</v>
      </c>
      <c r="S119" s="864" t="s">
        <v>2318</v>
      </c>
      <c r="T119" s="61" t="s">
        <v>1032</v>
      </c>
      <c r="U119" s="865" t="s">
        <v>2348</v>
      </c>
      <c r="V119" s="948" t="s">
        <v>2349</v>
      </c>
      <c r="W119" s="174" t="s">
        <v>1001</v>
      </c>
      <c r="X119" s="61" t="s">
        <v>1528</v>
      </c>
      <c r="Y119" s="864" t="s">
        <v>2023</v>
      </c>
      <c r="Z119" s="61" t="s">
        <v>1439</v>
      </c>
      <c r="AA119" s="864" t="s">
        <v>2042</v>
      </c>
      <c r="AB119" s="346" t="s">
        <v>1596</v>
      </c>
      <c r="AC119" s="346" t="s">
        <v>1921</v>
      </c>
      <c r="AD119" s="865" t="s">
        <v>2325</v>
      </c>
      <c r="AE119" s="865" t="s">
        <v>2324</v>
      </c>
      <c r="AF119" s="61" t="s">
        <v>985</v>
      </c>
      <c r="AG119" s="61"/>
      <c r="AH119" s="61" t="s">
        <v>985</v>
      </c>
      <c r="AI119" s="61"/>
      <c r="AJ119" s="174" t="s">
        <v>985</v>
      </c>
      <c r="AK119" s="174"/>
      <c r="AL119" s="214" t="s">
        <v>1163</v>
      </c>
      <c r="AM119" s="61" t="s">
        <v>935</v>
      </c>
      <c r="AN119" s="61" t="s">
        <v>952</v>
      </c>
      <c r="AO119" s="864" t="s">
        <v>1871</v>
      </c>
      <c r="AP119" s="61" t="s">
        <v>952</v>
      </c>
      <c r="AQ119" s="864" t="s">
        <v>1871</v>
      </c>
      <c r="AS119" s="62">
        <v>1500</v>
      </c>
      <c r="AT119" s="63"/>
      <c r="AU119" s="405">
        <v>10</v>
      </c>
      <c r="AV119" s="405"/>
      <c r="AW119" s="405">
        <f>VLOOKUP(Таблица7[[#This Row],[Основное оружие]], Оружие[#All], 2, 0)</f>
        <v>2</v>
      </c>
      <c r="AX119" s="405">
        <f>IF(ISBLANK(Таблица7[[#This Row],[Дополнительное оружие]]),"", VLOOKUP(Таблица7[[#This Row],[Дополнительное оружие]], Оружие[#All], 2, 0))</f>
        <v>3</v>
      </c>
      <c r="AY11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1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1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19" s="405">
        <f>VLOOKUP(Таблица7[[#This Row],[Основное оружие]], Оружие[#All], 3, 0)</f>
        <v>6</v>
      </c>
      <c r="BC119" s="405">
        <f>IF(ISBLANK(Таблица7[[#This Row],[Дополнительное оружие]]),"", VLOOKUP(Таблица7[[#This Row],[Дополнительное оружие]], Оружие[#All], 3, 0))</f>
        <v>3</v>
      </c>
      <c r="BD11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1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1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1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1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1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119" s="405">
        <f>Таблица7[[#This Row],[Броня]]+Таблица7[[#This Row],[Щит]]+Таблица7[[#This Row],[навык защиты]]</f>
        <v>33</v>
      </c>
      <c r="BK119" s="1006"/>
      <c r="BL119" s="1006"/>
      <c r="BM119" s="379"/>
      <c r="BN119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19" s="379">
        <v>0</v>
      </c>
      <c r="BP119" s="379">
        <v>-2</v>
      </c>
      <c r="BQ119" s="379">
        <v>0</v>
      </c>
      <c r="BR119" s="379">
        <v>-4</v>
      </c>
      <c r="BS119" s="379">
        <v>-2</v>
      </c>
      <c r="BT119" s="379">
        <v>12</v>
      </c>
      <c r="BU119" s="975" t="s">
        <v>1840</v>
      </c>
      <c r="BV119" s="975" t="s">
        <v>1844</v>
      </c>
      <c r="BW119" s="379"/>
      <c r="BX119" s="379"/>
      <c r="BY119" s="379"/>
      <c r="BZ119" s="64"/>
    </row>
    <row r="120" spans="1:78" s="62" customFormat="1" ht="40.5" customHeight="1" x14ac:dyDescent="0.25">
      <c r="A120" s="333">
        <v>119</v>
      </c>
      <c r="B120" s="864" t="s">
        <v>2350</v>
      </c>
      <c r="C120" s="864" t="s">
        <v>2351</v>
      </c>
      <c r="D120" s="61" t="s">
        <v>1556</v>
      </c>
      <c r="E120" s="445" t="s">
        <v>1546</v>
      </c>
      <c r="F120" s="445"/>
      <c r="G120" s="445"/>
      <c r="H120" s="445"/>
      <c r="I120" s="647">
        <v>0.3</v>
      </c>
      <c r="J120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120" s="593">
        <f>Таблица7[[#This Row],[Размер отряда минимум]]*1.25</f>
        <v>37.5</v>
      </c>
      <c r="L120" s="593">
        <f>Таблица7[[#This Row],[Размер отряда норма]]*1.5</f>
        <v>56.25</v>
      </c>
      <c r="M120" s="594">
        <f>Таблица7[[#This Row],[Размер отряда минимум]]*2.5</f>
        <v>75</v>
      </c>
      <c r="N120" s="594"/>
      <c r="O120" s="594"/>
      <c r="P120" s="594"/>
      <c r="Q120" s="594"/>
      <c r="R120" s="61" t="s">
        <v>6</v>
      </c>
      <c r="S120" s="864" t="s">
        <v>2318</v>
      </c>
      <c r="T120" s="61" t="s">
        <v>1032</v>
      </c>
      <c r="U120" s="865" t="s">
        <v>2352</v>
      </c>
      <c r="V120" s="866" t="s">
        <v>2353</v>
      </c>
      <c r="W120" s="174" t="s">
        <v>1001</v>
      </c>
      <c r="X120" s="61" t="s">
        <v>1691</v>
      </c>
      <c r="Y120" s="61" t="s">
        <v>2094</v>
      </c>
      <c r="Z120" s="61" t="s">
        <v>1441</v>
      </c>
      <c r="AA120" s="864" t="s">
        <v>1934</v>
      </c>
      <c r="AB120" s="61"/>
      <c r="AC120" s="61"/>
      <c r="AD120" s="174" t="s">
        <v>985</v>
      </c>
      <c r="AE120" s="174"/>
      <c r="AF120" s="61" t="s">
        <v>985</v>
      </c>
      <c r="AG120" s="61"/>
      <c r="AH120" s="61" t="s">
        <v>985</v>
      </c>
      <c r="AI120" s="61"/>
      <c r="AJ120" s="174" t="s">
        <v>985</v>
      </c>
      <c r="AK120" s="174"/>
      <c r="AL120" s="214" t="s">
        <v>985</v>
      </c>
      <c r="AM120" s="61" t="s">
        <v>977</v>
      </c>
      <c r="AN120" s="864" t="s">
        <v>2384</v>
      </c>
      <c r="AO120" s="864" t="s">
        <v>2328</v>
      </c>
      <c r="AP120" s="61" t="s">
        <v>1052</v>
      </c>
      <c r="AQ120" s="864" t="s">
        <v>2327</v>
      </c>
      <c r="AS120" s="62">
        <v>1500</v>
      </c>
      <c r="AT120" s="63"/>
      <c r="AU120" s="405">
        <v>2</v>
      </c>
      <c r="AV120" s="405" t="s">
        <v>1827</v>
      </c>
      <c r="AW120" s="405">
        <f>VLOOKUP(Таблица7[[#This Row],[Основное оружие]], Оружие[#All], 2, 0)</f>
        <v>0</v>
      </c>
      <c r="AX120" s="405">
        <f>IF(ISBLANK(Таблица7[[#This Row],[Дополнительное оружие]]),"", VLOOKUP(Таблица7[[#This Row],[Дополнительное оружие]], Оружие[#All], 2, 0))</f>
        <v>4</v>
      </c>
      <c r="AY12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2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2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120" s="405">
        <f>VLOOKUP(Таблица7[[#This Row],[Основное оружие]], Оружие[#All], 3, 0)</f>
        <v>1</v>
      </c>
      <c r="BC120" s="405">
        <f>IF(ISBLANK(Таблица7[[#This Row],[Дополнительное оружие]]),"", VLOOKUP(Таблица7[[#This Row],[Дополнительное оружие]], Оружие[#All], 3, 0))</f>
        <v>3</v>
      </c>
      <c r="BD12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2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2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2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2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20" s="405">
        <f>Таблица7[[#This Row],[Броня]]+Таблица7[[#This Row],[Щит]]+Таблица7[[#This Row],[навык защиты]]</f>
        <v>4</v>
      </c>
      <c r="BK120" s="1006"/>
      <c r="BL120" s="1006"/>
      <c r="BM120" s="379"/>
      <c r="BN120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20" s="379">
        <v>0</v>
      </c>
      <c r="BP120" s="379">
        <v>1</v>
      </c>
      <c r="BQ120" s="379">
        <v>2</v>
      </c>
      <c r="BR120" s="379">
        <v>2</v>
      </c>
      <c r="BS120" s="379">
        <v>-2</v>
      </c>
      <c r="BT120" s="379">
        <v>6</v>
      </c>
      <c r="BU120" s="975" t="s">
        <v>1839</v>
      </c>
      <c r="BV120" s="975" t="s">
        <v>1843</v>
      </c>
      <c r="BW120" s="379"/>
      <c r="BX120" s="379"/>
      <c r="BY120" s="379"/>
      <c r="BZ120" s="64"/>
    </row>
    <row r="121" spans="1:78" s="62" customFormat="1" ht="40.5" customHeight="1" x14ac:dyDescent="0.25">
      <c r="A121" s="333">
        <v>120</v>
      </c>
      <c r="B121" s="292" t="s">
        <v>1261</v>
      </c>
      <c r="C121" s="864" t="s">
        <v>2354</v>
      </c>
      <c r="D121" s="61" t="s">
        <v>1555</v>
      </c>
      <c r="E121" s="61" t="s">
        <v>1570</v>
      </c>
      <c r="F121" s="61"/>
      <c r="G121" s="61"/>
      <c r="H121" s="61"/>
      <c r="I121" s="647">
        <v>0.3</v>
      </c>
      <c r="J121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121" s="593">
        <f>Таблица7[[#This Row],[Размер отряда минимум]]*1.25</f>
        <v>15</v>
      </c>
      <c r="L121" s="593">
        <f>Таблица7[[#This Row],[Размер отряда норма]]*1.5</f>
        <v>22.5</v>
      </c>
      <c r="M121" s="594">
        <f>Таблица7[[#This Row],[Размер отряда минимум]]*2.5</f>
        <v>30</v>
      </c>
      <c r="N121" s="594"/>
      <c r="O121" s="594"/>
      <c r="P121" s="594"/>
      <c r="Q121" s="594"/>
      <c r="R121" s="61" t="s">
        <v>6</v>
      </c>
      <c r="S121" s="864" t="s">
        <v>2318</v>
      </c>
      <c r="T121" s="61" t="s">
        <v>1032</v>
      </c>
      <c r="U121" s="865" t="s">
        <v>2355</v>
      </c>
      <c r="V121" s="866" t="s">
        <v>2356</v>
      </c>
      <c r="W121" s="174" t="s">
        <v>984</v>
      </c>
      <c r="X121" s="864" t="s">
        <v>2357</v>
      </c>
      <c r="Y121" s="561" t="s">
        <v>2358</v>
      </c>
      <c r="Z121" s="61" t="s">
        <v>1441</v>
      </c>
      <c r="AA121" s="864" t="s">
        <v>1934</v>
      </c>
      <c r="AB121" s="61"/>
      <c r="AC121" s="61"/>
      <c r="AD121" s="174" t="s">
        <v>985</v>
      </c>
      <c r="AE121" s="174"/>
      <c r="AF121" s="61" t="s">
        <v>985</v>
      </c>
      <c r="AG121" s="61"/>
      <c r="AH121" s="61" t="s">
        <v>985</v>
      </c>
      <c r="AI121" s="61"/>
      <c r="AJ121" s="174" t="s">
        <v>985</v>
      </c>
      <c r="AK121" s="174"/>
      <c r="AL121" s="214" t="s">
        <v>985</v>
      </c>
      <c r="AM121" s="61" t="s">
        <v>977</v>
      </c>
      <c r="AN121" s="864" t="s">
        <v>2384</v>
      </c>
      <c r="AO121" s="864" t="s">
        <v>2329</v>
      </c>
      <c r="AP121" s="61" t="s">
        <v>1052</v>
      </c>
      <c r="AQ121" s="864" t="s">
        <v>2327</v>
      </c>
      <c r="AS121" s="62">
        <v>1500</v>
      </c>
      <c r="AT121" s="63"/>
      <c r="AU121" s="405">
        <v>3</v>
      </c>
      <c r="AV121" s="405" t="s">
        <v>1827</v>
      </c>
      <c r="AW121" s="405">
        <f>VLOOKUP(Таблица7[[#This Row],[Основное оружие]], Оружие[#All], 2, 0)</f>
        <v>0</v>
      </c>
      <c r="AX121" s="405">
        <f>IF(ISBLANK(Таблица7[[#This Row],[Дополнительное оружие]]),"", VLOOKUP(Таблица7[[#This Row],[Дополнительное оружие]], Оружие[#All], 2, 0))</f>
        <v>4</v>
      </c>
      <c r="AY12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12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2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121" s="405">
        <f>VLOOKUP(Таблица7[[#This Row],[Основное оружие]], Оружие[#All], 3, 0)</f>
        <v>1</v>
      </c>
      <c r="BC121" s="405">
        <f>IF(ISBLANK(Таблица7[[#This Row],[Дополнительное оружие]]),"", VLOOKUP(Таблица7[[#This Row],[Дополнительное оружие]], Оружие[#All], 3, 0))</f>
        <v>3</v>
      </c>
      <c r="BD12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2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2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2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2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21" s="405">
        <f>Таблица7[[#This Row],[Броня]]+Таблица7[[#This Row],[Щит]]+Таблица7[[#This Row],[навык защиты]]</f>
        <v>3</v>
      </c>
      <c r="BK121" s="1006"/>
      <c r="BL121" s="1006"/>
      <c r="BM121" s="379"/>
      <c r="BN121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21" s="379">
        <v>0</v>
      </c>
      <c r="BP121" s="379">
        <v>-2</v>
      </c>
      <c r="BQ121" s="379">
        <v>0</v>
      </c>
      <c r="BR121" s="379">
        <v>-4</v>
      </c>
      <c r="BS121" s="379">
        <v>-2</v>
      </c>
      <c r="BT121" s="379">
        <v>7</v>
      </c>
      <c r="BU121" s="975" t="s">
        <v>1839</v>
      </c>
      <c r="BV121" s="975" t="s">
        <v>1843</v>
      </c>
      <c r="BW121" s="379"/>
      <c r="BX121" s="379"/>
      <c r="BY121" s="379"/>
      <c r="BZ121" s="64"/>
    </row>
    <row r="122" spans="1:78" s="67" customFormat="1" ht="40.5" customHeight="1" x14ac:dyDescent="0.25">
      <c r="A122" s="333">
        <v>121</v>
      </c>
      <c r="B122" s="293" t="s">
        <v>1276</v>
      </c>
      <c r="C122" s="293"/>
      <c r="D122" s="66" t="s">
        <v>1556</v>
      </c>
      <c r="E122" s="66" t="s">
        <v>1560</v>
      </c>
      <c r="F122" s="66"/>
      <c r="G122" s="66"/>
      <c r="H122" s="66"/>
      <c r="I122" s="648">
        <v>1</v>
      </c>
      <c r="J122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122" s="595">
        <f>Таблица7[[#This Row],[Размер отряда минимум]]*1.25</f>
        <v>125</v>
      </c>
      <c r="L122" s="595">
        <f>Таблица7[[#This Row],[Размер отряда норма]]*1.5</f>
        <v>187.5</v>
      </c>
      <c r="M122" s="596">
        <f>Таблица7[[#This Row],[Размер отряда минимум]]*2.5</f>
        <v>250</v>
      </c>
      <c r="N122" s="596"/>
      <c r="O122" s="596"/>
      <c r="P122" s="596"/>
      <c r="Q122" s="596"/>
      <c r="R122" s="66" t="s">
        <v>7</v>
      </c>
      <c r="S122" s="955" t="s">
        <v>2880</v>
      </c>
      <c r="T122" s="66" t="s">
        <v>1032</v>
      </c>
      <c r="U122" s="732" t="s">
        <v>1056</v>
      </c>
      <c r="V122" s="459"/>
      <c r="W122" s="175" t="s">
        <v>984</v>
      </c>
      <c r="X122" s="66" t="s">
        <v>994</v>
      </c>
      <c r="Y122" s="66"/>
      <c r="Z122" s="66"/>
      <c r="AA122" s="66"/>
      <c r="AB122" s="66"/>
      <c r="AC122" s="66"/>
      <c r="AD122" s="175" t="s">
        <v>985</v>
      </c>
      <c r="AE122" s="175"/>
      <c r="AF122" s="66" t="s">
        <v>985</v>
      </c>
      <c r="AG122" s="66"/>
      <c r="AH122" s="66" t="s">
        <v>985</v>
      </c>
      <c r="AI122" s="66"/>
      <c r="AJ122" s="175" t="s">
        <v>985</v>
      </c>
      <c r="AK122" s="175"/>
      <c r="AL122" s="215" t="s">
        <v>985</v>
      </c>
      <c r="AM122" s="66" t="s">
        <v>935</v>
      </c>
      <c r="AN122" s="66" t="s">
        <v>955</v>
      </c>
      <c r="AO122" s="66"/>
      <c r="AP122" s="66" t="s">
        <v>1057</v>
      </c>
      <c r="AQ122" s="66"/>
      <c r="AS122" s="67">
        <v>1500</v>
      </c>
      <c r="AT122" s="69"/>
      <c r="AU122" s="444">
        <v>1</v>
      </c>
      <c r="AV122" s="405"/>
      <c r="AW122" s="405">
        <f>VLOOKUP(Таблица7[[#This Row],[Основное оружие]], Оружие[#All], 2, 0)</f>
        <v>1</v>
      </c>
      <c r="AX122" s="405" t="str">
        <f>IF(ISBLANK(Таблица7[[#This Row],[Дополнительное оружие]]),"", VLOOKUP(Таблица7[[#This Row],[Дополнительное оружие]], Оружие[#All], 2, 0))</f>
        <v/>
      </c>
      <c r="AY12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</v>
      </c>
      <c r="AZ12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2</v>
      </c>
      <c r="BA122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22" s="405">
        <f>VLOOKUP(Таблица7[[#This Row],[Основное оружие]], Оружие[#All], 3, 0)</f>
        <v>1</v>
      </c>
      <c r="BC122" s="405" t="str">
        <f>IF(ISBLANK(Таблица7[[#This Row],[Дополнительное оружие]]),"", VLOOKUP(Таблица7[[#This Row],[Дополнительное оружие]], Оружие[#All], 3, 0))</f>
        <v/>
      </c>
      <c r="BD12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2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2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2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0</v>
      </c>
      <c r="BI12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22" s="405">
        <f>Таблица7[[#This Row],[Броня]]+Таблица7[[#This Row],[Щит]]+Таблица7[[#This Row],[навык защиты]]</f>
        <v>1</v>
      </c>
      <c r="BK122" s="1008"/>
      <c r="BL122" s="1008"/>
      <c r="BM122" s="380"/>
      <c r="BN122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22" s="380">
        <v>1</v>
      </c>
      <c r="BP122" s="380">
        <v>-1</v>
      </c>
      <c r="BQ122" s="380">
        <v>0</v>
      </c>
      <c r="BR122" s="380">
        <v>-2</v>
      </c>
      <c r="BS122" s="380">
        <v>0</v>
      </c>
      <c r="BT122" s="380">
        <v>2</v>
      </c>
      <c r="BU122" s="976" t="s">
        <v>1839</v>
      </c>
      <c r="BV122" s="976" t="s">
        <v>1842</v>
      </c>
      <c r="BW122" s="380"/>
      <c r="BX122" s="380"/>
      <c r="BY122" s="380"/>
      <c r="BZ122" s="70"/>
    </row>
    <row r="123" spans="1:78" s="67" customFormat="1" ht="40.5" customHeight="1" x14ac:dyDescent="0.25">
      <c r="A123" s="333">
        <v>122</v>
      </c>
      <c r="B123" s="293" t="s">
        <v>1275</v>
      </c>
      <c r="C123" s="293"/>
      <c r="D123" s="293" t="s">
        <v>1556</v>
      </c>
      <c r="E123" s="293" t="s">
        <v>1560</v>
      </c>
      <c r="F123" s="293"/>
      <c r="G123" s="293"/>
      <c r="H123" s="293"/>
      <c r="I123" s="648">
        <v>1</v>
      </c>
      <c r="J123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123" s="595">
        <f>Таблица7[[#This Row],[Размер отряда минимум]]*1.25</f>
        <v>125</v>
      </c>
      <c r="L123" s="595">
        <f>Таблица7[[#This Row],[Размер отряда норма]]*1.5</f>
        <v>187.5</v>
      </c>
      <c r="M123" s="596">
        <f>Таблица7[[#This Row],[Размер отряда минимум]]*2.5</f>
        <v>250</v>
      </c>
      <c r="N123" s="596"/>
      <c r="O123" s="596"/>
      <c r="P123" s="596"/>
      <c r="Q123" s="596"/>
      <c r="R123" s="66" t="s">
        <v>7</v>
      </c>
      <c r="S123" s="955" t="s">
        <v>2880</v>
      </c>
      <c r="T123" s="293" t="s">
        <v>1032</v>
      </c>
      <c r="U123" s="175" t="s">
        <v>1058</v>
      </c>
      <c r="V123" s="68"/>
      <c r="W123" s="175" t="s">
        <v>984</v>
      </c>
      <c r="X123" s="66" t="s">
        <v>1059</v>
      </c>
      <c r="Y123" s="66"/>
      <c r="Z123" s="66"/>
      <c r="AA123" s="66"/>
      <c r="AB123" s="66" t="s">
        <v>1504</v>
      </c>
      <c r="AC123" s="66"/>
      <c r="AD123" s="175" t="s">
        <v>985</v>
      </c>
      <c r="AE123" s="175"/>
      <c r="AF123" s="66" t="s">
        <v>991</v>
      </c>
      <c r="AG123" s="66"/>
      <c r="AH123" s="66" t="s">
        <v>985</v>
      </c>
      <c r="AI123" s="66"/>
      <c r="AJ123" s="175" t="s">
        <v>985</v>
      </c>
      <c r="AK123" s="175"/>
      <c r="AL123" s="215" t="s">
        <v>985</v>
      </c>
      <c r="AM123" s="66" t="s">
        <v>978</v>
      </c>
      <c r="AN123" s="66" t="s">
        <v>1023</v>
      </c>
      <c r="AO123" s="66"/>
      <c r="AP123" s="66" t="s">
        <v>1057</v>
      </c>
      <c r="AQ123" s="66"/>
      <c r="AS123" s="67">
        <v>1500</v>
      </c>
      <c r="AT123" s="69"/>
      <c r="AU123" s="405">
        <v>4</v>
      </c>
      <c r="AV123" s="405"/>
      <c r="AW123" s="405">
        <f>VLOOKUP(Таблица7[[#This Row],[Основное оружие]], Оружие[#All], 2, 0)</f>
        <v>2</v>
      </c>
      <c r="AX123" s="405" t="str">
        <f>IF(ISBLANK(Таблица7[[#This Row],[Дополнительное оружие]]),"", VLOOKUP(Таблица7[[#This Row],[Дополнительное оружие]], Оружие[#All], 2, 0))</f>
        <v/>
      </c>
      <c r="AY12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12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12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23" s="405">
        <f>VLOOKUP(Таблица7[[#This Row],[Основное оружие]], Оружие[#All], 3, 0)</f>
        <v>3</v>
      </c>
      <c r="BC123" s="405" t="str">
        <f>IF(ISBLANK(Таблица7[[#This Row],[Дополнительное оружие]]),"", VLOOKUP(Таблица7[[#This Row],[Дополнительное оружие]], Оружие[#All], 3, 0))</f>
        <v/>
      </c>
      <c r="BD12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2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12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2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2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123" s="405">
        <f>Таблица7[[#This Row],[Броня]]+Таблица7[[#This Row],[Щит]]+Таблица7[[#This Row],[навык защиты]]</f>
        <v>11</v>
      </c>
      <c r="BK123" s="1006"/>
      <c r="BL123" s="1006"/>
      <c r="BM123" s="380"/>
      <c r="BN123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23" s="380">
        <v>1</v>
      </c>
      <c r="BP123" s="380">
        <v>0</v>
      </c>
      <c r="BQ123" s="380">
        <v>0</v>
      </c>
      <c r="BR123" s="380">
        <v>-1</v>
      </c>
      <c r="BS123" s="380">
        <v>0</v>
      </c>
      <c r="BT123" s="380">
        <v>7</v>
      </c>
      <c r="BU123" s="976" t="s">
        <v>1839</v>
      </c>
      <c r="BV123" s="976" t="s">
        <v>1842</v>
      </c>
      <c r="BW123" s="380"/>
      <c r="BX123" s="380"/>
      <c r="BY123" s="380"/>
      <c r="BZ123" s="70"/>
    </row>
    <row r="124" spans="1:78" s="67" customFormat="1" ht="40.5" customHeight="1" x14ac:dyDescent="0.25">
      <c r="A124" s="333">
        <v>123</v>
      </c>
      <c r="B124" s="293" t="s">
        <v>1519</v>
      </c>
      <c r="C124" s="293"/>
      <c r="D124" s="293" t="s">
        <v>1556</v>
      </c>
      <c r="E124" s="293" t="s">
        <v>1559</v>
      </c>
      <c r="F124" s="293"/>
      <c r="G124" s="293"/>
      <c r="H124" s="293"/>
      <c r="I124" s="648">
        <v>0.75</v>
      </c>
      <c r="J124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24" s="595">
        <f>Таблица7[[#This Row],[Размер отряда минимум]]*1.25</f>
        <v>84.375</v>
      </c>
      <c r="L124" s="595">
        <f>Таблица7[[#This Row],[Размер отряда норма]]*1.5</f>
        <v>126.5625</v>
      </c>
      <c r="M124" s="596">
        <f>Таблица7[[#This Row],[Размер отряда минимум]]*2.5</f>
        <v>168.75</v>
      </c>
      <c r="N124" s="596"/>
      <c r="O124" s="596"/>
      <c r="P124" s="596"/>
      <c r="Q124" s="596"/>
      <c r="R124" s="66" t="s">
        <v>7</v>
      </c>
      <c r="S124" s="955" t="s">
        <v>2880</v>
      </c>
      <c r="T124" s="580" t="s">
        <v>1032</v>
      </c>
      <c r="U124" s="175" t="s">
        <v>1520</v>
      </c>
      <c r="V124" s="68"/>
      <c r="W124" s="175" t="s">
        <v>1001</v>
      </c>
      <c r="X124" s="434" t="s">
        <v>1063</v>
      </c>
      <c r="Y124" s="434"/>
      <c r="Z124" s="66"/>
      <c r="AA124" s="66"/>
      <c r="AB124" s="66"/>
      <c r="AC124" s="66"/>
      <c r="AD124" s="791" t="s">
        <v>1202</v>
      </c>
      <c r="AE124" s="791"/>
      <c r="AF124" s="66" t="s">
        <v>1478</v>
      </c>
      <c r="AG124" s="66"/>
      <c r="AH124" s="125" t="s">
        <v>985</v>
      </c>
      <c r="AI124" s="125"/>
      <c r="AJ124" s="66" t="s">
        <v>1487</v>
      </c>
      <c r="AK124" s="66"/>
      <c r="AL124" s="215" t="s">
        <v>985</v>
      </c>
      <c r="AM124" s="66" t="s">
        <v>977</v>
      </c>
      <c r="AN124" s="66" t="s">
        <v>1054</v>
      </c>
      <c r="AO124" s="66"/>
      <c r="AP124" s="66" t="s">
        <v>1060</v>
      </c>
      <c r="AQ124" s="66"/>
      <c r="AS124" s="67">
        <v>1500</v>
      </c>
      <c r="AT124" s="69"/>
      <c r="AU124" s="405">
        <v>8</v>
      </c>
      <c r="AV124" s="405"/>
      <c r="AW124" s="405">
        <f>VLOOKUP(Таблица7[[#This Row],[Основное оружие]], Оружие[#All], 2, 0)</f>
        <v>5</v>
      </c>
      <c r="AX124" s="405" t="str">
        <f>IF(ISBLANK(Таблица7[[#This Row],[Дополнительное оружие]]),"", VLOOKUP(Таблица7[[#This Row],[Дополнительное оружие]], Оружие[#All], 2, 0))</f>
        <v/>
      </c>
      <c r="AY12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2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12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24" s="405">
        <f>VLOOKUP(Таблица7[[#This Row],[Основное оружие]], Оружие[#All], 3, 0)</f>
        <v>8</v>
      </c>
      <c r="BC124" s="405" t="str">
        <f>IF(ISBLANK(Таблица7[[#This Row],[Дополнительное оружие]]),"", VLOOKUP(Таблица7[[#This Row],[Дополнительное оружие]], Оружие[#All], 3, 0))</f>
        <v/>
      </c>
      <c r="BD12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10</v>
      </c>
      <c r="BE12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11</v>
      </c>
      <c r="BF12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4" s="405" t="e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#N/A</v>
      </c>
      <c r="BH12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12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24" s="405">
        <f>Таблица7[[#This Row],[Броня]]+Таблица7[[#This Row],[Щит]]+Таблица7[[#This Row],[навык защиты]]</f>
        <v>18</v>
      </c>
      <c r="BK124" s="1006"/>
      <c r="BL124" s="1006"/>
      <c r="BM124" s="380"/>
      <c r="BN124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24" s="380">
        <v>1</v>
      </c>
      <c r="BP124" s="380">
        <v>0</v>
      </c>
      <c r="BQ124" s="380">
        <v>0</v>
      </c>
      <c r="BR124" s="380">
        <v>0</v>
      </c>
      <c r="BS124" s="380">
        <v>0</v>
      </c>
      <c r="BT124" s="380">
        <v>11</v>
      </c>
      <c r="BU124" s="976" t="s">
        <v>1840</v>
      </c>
      <c r="BV124" s="976" t="s">
        <v>1843</v>
      </c>
      <c r="BW124" s="380"/>
      <c r="BX124" s="380"/>
      <c r="BY124" s="380"/>
      <c r="BZ124" s="70"/>
    </row>
    <row r="125" spans="1:78" s="67" customFormat="1" ht="40.5" customHeight="1" x14ac:dyDescent="0.25">
      <c r="A125" s="333">
        <v>124</v>
      </c>
      <c r="B125" s="293" t="s">
        <v>1262</v>
      </c>
      <c r="C125" s="293"/>
      <c r="D125" s="293" t="s">
        <v>1556</v>
      </c>
      <c r="E125" s="293" t="s">
        <v>1561</v>
      </c>
      <c r="F125" s="293"/>
      <c r="G125" s="293"/>
      <c r="H125" s="293"/>
      <c r="I125" s="648">
        <v>0.3</v>
      </c>
      <c r="J125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125" s="595">
        <f>Таблица7[[#This Row],[Размер отряда минимум]]*1.25</f>
        <v>37.5</v>
      </c>
      <c r="L125" s="595">
        <f>Таблица7[[#This Row],[Размер отряда норма]]*1.5</f>
        <v>56.25</v>
      </c>
      <c r="M125" s="596">
        <f>Таблица7[[#This Row],[Размер отряда минимум]]*2.5</f>
        <v>75</v>
      </c>
      <c r="N125" s="596"/>
      <c r="O125" s="596"/>
      <c r="P125" s="596"/>
      <c r="Q125" s="596"/>
      <c r="R125" s="66" t="s">
        <v>7</v>
      </c>
      <c r="S125" s="955" t="s">
        <v>2880</v>
      </c>
      <c r="T125" s="293" t="s">
        <v>1032</v>
      </c>
      <c r="U125" s="733" t="s">
        <v>1515</v>
      </c>
      <c r="V125" s="432"/>
      <c r="W125" s="175" t="s">
        <v>1001</v>
      </c>
      <c r="X125" s="66" t="s">
        <v>1687</v>
      </c>
      <c r="Y125" s="66"/>
      <c r="Z125" s="433" t="s">
        <v>1025</v>
      </c>
      <c r="AA125" s="433"/>
      <c r="AB125" s="420" t="s">
        <v>1503</v>
      </c>
      <c r="AC125" s="420"/>
      <c r="AD125" s="175" t="s">
        <v>1202</v>
      </c>
      <c r="AE125" s="175"/>
      <c r="AF125" s="66" t="s">
        <v>1478</v>
      </c>
      <c r="AG125" s="66"/>
      <c r="AH125" s="125" t="s">
        <v>985</v>
      </c>
      <c r="AI125" s="125"/>
      <c r="AJ125" s="66" t="s">
        <v>1487</v>
      </c>
      <c r="AK125" s="66"/>
      <c r="AL125" s="215" t="s">
        <v>985</v>
      </c>
      <c r="AM125" s="66" t="s">
        <v>977</v>
      </c>
      <c r="AN125" s="66" t="s">
        <v>1054</v>
      </c>
      <c r="AO125" s="66"/>
      <c r="AP125" s="66" t="s">
        <v>1057</v>
      </c>
      <c r="AQ125" s="66"/>
      <c r="AS125" s="67">
        <v>1500</v>
      </c>
      <c r="AT125" s="69"/>
      <c r="AU125" s="405">
        <v>8</v>
      </c>
      <c r="AV125" s="405" t="s">
        <v>1828</v>
      </c>
      <c r="AW125" s="405">
        <f>VLOOKUP(Таблица7[[#This Row],[Основное оружие]], Оружие[#All], 2, 0)</f>
        <v>0</v>
      </c>
      <c r="AX125" s="405">
        <f>IF(ISBLANK(Таблица7[[#This Row],[Дополнительное оружие]]),"", VLOOKUP(Таблица7[[#This Row],[Дополнительное оружие]], Оружие[#All], 2, 0))</f>
        <v>2</v>
      </c>
      <c r="AY12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2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2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25" s="405">
        <f>VLOOKUP(Таблица7[[#This Row],[Основное оружие]], Оружие[#All], 3, 0)</f>
        <v>1</v>
      </c>
      <c r="BC125" s="405">
        <f>IF(ISBLANK(Таблица7[[#This Row],[Дополнительное оружие]]),"", VLOOKUP(Таблица7[[#This Row],[Дополнительное оружие]], Оружие[#All], 3, 0))</f>
        <v>1</v>
      </c>
      <c r="BD12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10</v>
      </c>
      <c r="BE12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11</v>
      </c>
      <c r="BF12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5" s="405" t="e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#N/A</v>
      </c>
      <c r="BH12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12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25" s="405">
        <f>Таблица7[[#This Row],[Броня]]+Таблица7[[#This Row],[Щит]]+Таблица7[[#This Row],[навык защиты]]</f>
        <v>18</v>
      </c>
      <c r="BK125" s="1006"/>
      <c r="BL125" s="1006"/>
      <c r="BM125" s="380"/>
      <c r="BN125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25" s="380">
        <v>1</v>
      </c>
      <c r="BP125" s="380">
        <v>-1</v>
      </c>
      <c r="BQ125" s="380">
        <v>0</v>
      </c>
      <c r="BR125" s="380">
        <v>-2</v>
      </c>
      <c r="BS125" s="380">
        <v>0</v>
      </c>
      <c r="BT125" s="380">
        <v>9</v>
      </c>
      <c r="BU125" s="976" t="s">
        <v>1576</v>
      </c>
      <c r="BV125" s="976" t="s">
        <v>1843</v>
      </c>
      <c r="BW125" s="380"/>
      <c r="BX125" s="380"/>
      <c r="BY125" s="380"/>
      <c r="BZ125" s="70"/>
    </row>
    <row r="126" spans="1:78" s="67" customFormat="1" ht="40.5" customHeight="1" x14ac:dyDescent="0.25">
      <c r="A126" s="333">
        <v>125</v>
      </c>
      <c r="B126" s="293" t="s">
        <v>1263</v>
      </c>
      <c r="C126" s="293"/>
      <c r="D126" s="434" t="s">
        <v>1555</v>
      </c>
      <c r="E126" s="293" t="s">
        <v>1570</v>
      </c>
      <c r="F126" s="293"/>
      <c r="G126" s="293"/>
      <c r="H126" s="293"/>
      <c r="I126" s="648">
        <v>1</v>
      </c>
      <c r="J126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126" s="595">
        <f>Таблица7[[#This Row],[Размер отряда минимум]]*1.25</f>
        <v>50</v>
      </c>
      <c r="L126" s="595">
        <f>Таблица7[[#This Row],[Размер отряда норма]]*1.5</f>
        <v>75</v>
      </c>
      <c r="M126" s="596">
        <f>Таблица7[[#This Row],[Размер отряда минимум]]*2.5</f>
        <v>100</v>
      </c>
      <c r="N126" s="596"/>
      <c r="O126" s="596"/>
      <c r="P126" s="596"/>
      <c r="Q126" s="596"/>
      <c r="R126" s="66" t="s">
        <v>7</v>
      </c>
      <c r="S126" s="955" t="s">
        <v>2880</v>
      </c>
      <c r="T126" s="266" t="s">
        <v>1032</v>
      </c>
      <c r="U126" s="175" t="s">
        <v>1026</v>
      </c>
      <c r="V126" s="68"/>
      <c r="W126" s="175" t="s">
        <v>984</v>
      </c>
      <c r="X126" s="66" t="s">
        <v>1688</v>
      </c>
      <c r="Y126" s="66"/>
      <c r="Z126" s="66" t="s">
        <v>1441</v>
      </c>
      <c r="AA126" s="66"/>
      <c r="AB126" s="66" t="s">
        <v>944</v>
      </c>
      <c r="AC126" s="66"/>
      <c r="AD126" s="175" t="s">
        <v>985</v>
      </c>
      <c r="AE126" s="175"/>
      <c r="AF126" s="66" t="s">
        <v>991</v>
      </c>
      <c r="AG126" s="66"/>
      <c r="AH126" s="66" t="s">
        <v>985</v>
      </c>
      <c r="AI126" s="66"/>
      <c r="AJ126" s="175" t="s">
        <v>985</v>
      </c>
      <c r="AK126" s="175"/>
      <c r="AL126" s="215" t="s">
        <v>985</v>
      </c>
      <c r="AM126" s="66" t="s">
        <v>978</v>
      </c>
      <c r="AN126" s="66" t="s">
        <v>1023</v>
      </c>
      <c r="AO126" s="66"/>
      <c r="AP126" s="66" t="s">
        <v>1057</v>
      </c>
      <c r="AQ126" s="66"/>
      <c r="AS126" s="67">
        <v>1500</v>
      </c>
      <c r="AT126" s="69"/>
      <c r="AU126" s="405">
        <v>6</v>
      </c>
      <c r="AV126" s="405" t="s">
        <v>1827</v>
      </c>
      <c r="AW126" s="405">
        <f>VLOOKUP(Таблица7[[#This Row],[Основное оружие]], Оружие[#All], 2, 0)</f>
        <v>0</v>
      </c>
      <c r="AX126" s="405">
        <f>IF(ISBLANK(Таблица7[[#This Row],[Дополнительное оружие]]),"", VLOOKUP(Таблица7[[#This Row],[Дополнительное оружие]], Оружие[#All], 2, 0))</f>
        <v>4</v>
      </c>
      <c r="AY12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2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2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26" s="405">
        <f>VLOOKUP(Таблица7[[#This Row],[Основное оружие]], Оружие[#All], 3, 0)</f>
        <v>1</v>
      </c>
      <c r="BC126" s="405">
        <f>IF(ISBLANK(Таблица7[[#This Row],[Дополнительное оружие]]),"", VLOOKUP(Таблица7[[#This Row],[Дополнительное оружие]], Оружие[#All], 3, 0))</f>
        <v>3</v>
      </c>
      <c r="BD12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2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12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2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2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26" s="405">
        <f>Таблица7[[#This Row],[Броня]]+Таблица7[[#This Row],[Щит]]+Таблица7[[#This Row],[навык защиты]]</f>
        <v>9</v>
      </c>
      <c r="BK126" s="1008" t="s">
        <v>1589</v>
      </c>
      <c r="BL126" s="1008"/>
      <c r="BM126" s="380"/>
      <c r="BN126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26" s="380">
        <v>1</v>
      </c>
      <c r="BP126" s="380">
        <v>-2</v>
      </c>
      <c r="BQ126" s="380">
        <v>0</v>
      </c>
      <c r="BR126" s="380">
        <v>-4</v>
      </c>
      <c r="BS126" s="380">
        <v>-2</v>
      </c>
      <c r="BT126" s="380">
        <v>6</v>
      </c>
      <c r="BU126" s="976" t="s">
        <v>1839</v>
      </c>
      <c r="BV126" s="976" t="s">
        <v>1842</v>
      </c>
      <c r="BW126" s="380"/>
      <c r="BX126" s="380"/>
      <c r="BY126" s="380"/>
      <c r="BZ126" s="70"/>
    </row>
    <row r="127" spans="1:78" s="67" customFormat="1" ht="40.5" customHeight="1" x14ac:dyDescent="0.25">
      <c r="A127" s="333">
        <v>126</v>
      </c>
      <c r="B127" s="293" t="s">
        <v>1264</v>
      </c>
      <c r="C127" s="293"/>
      <c r="D127" s="434" t="s">
        <v>1555</v>
      </c>
      <c r="E127" s="293" t="s">
        <v>1571</v>
      </c>
      <c r="F127" s="293"/>
      <c r="G127" s="293"/>
      <c r="H127" s="293"/>
      <c r="I127" s="648">
        <v>1</v>
      </c>
      <c r="J127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</v>
      </c>
      <c r="K127" s="595">
        <f>Таблица7[[#This Row],[Размер отряда минимум]]*1.25</f>
        <v>40</v>
      </c>
      <c r="L127" s="595">
        <f>Таблица7[[#This Row],[Размер отряда норма]]*1.5</f>
        <v>60</v>
      </c>
      <c r="M127" s="596">
        <f>Таблица7[[#This Row],[Размер отряда минимум]]*2.5</f>
        <v>80</v>
      </c>
      <c r="N127" s="596"/>
      <c r="O127" s="596"/>
      <c r="P127" s="596"/>
      <c r="Q127" s="596"/>
      <c r="R127" s="66" t="s">
        <v>7</v>
      </c>
      <c r="S127" s="955" t="s">
        <v>2880</v>
      </c>
      <c r="T127" s="293" t="s">
        <v>1032</v>
      </c>
      <c r="U127" s="732" t="s">
        <v>1170</v>
      </c>
      <c r="V127" s="459"/>
      <c r="W127" s="175" t="s">
        <v>1001</v>
      </c>
      <c r="X127" s="347" t="s">
        <v>1687</v>
      </c>
      <c r="Y127" s="347"/>
      <c r="Z127" s="347" t="s">
        <v>1439</v>
      </c>
      <c r="AA127" s="347"/>
      <c r="AB127" s="347" t="s">
        <v>944</v>
      </c>
      <c r="AC127" s="347"/>
      <c r="AD127" s="175" t="s">
        <v>1202</v>
      </c>
      <c r="AE127" s="175"/>
      <c r="AF127" s="66" t="s">
        <v>1478</v>
      </c>
      <c r="AG127" s="66"/>
      <c r="AH127" s="66" t="s">
        <v>985</v>
      </c>
      <c r="AI127" s="66"/>
      <c r="AJ127" s="175" t="s">
        <v>985</v>
      </c>
      <c r="AK127" s="175"/>
      <c r="AL127" s="215" t="s">
        <v>985</v>
      </c>
      <c r="AM127" s="66" t="s">
        <v>978</v>
      </c>
      <c r="AN127" s="66" t="s">
        <v>1023</v>
      </c>
      <c r="AO127" s="66"/>
      <c r="AP127" s="66" t="s">
        <v>1061</v>
      </c>
      <c r="AQ127" s="66"/>
      <c r="AS127" s="67">
        <v>1500</v>
      </c>
      <c r="AT127" s="69"/>
      <c r="AU127" s="405">
        <v>8</v>
      </c>
      <c r="AV127" s="405" t="s">
        <v>1828</v>
      </c>
      <c r="AW127" s="405">
        <f>VLOOKUP(Таблица7[[#This Row],[Основное оружие]], Оружие[#All], 2, 0)</f>
        <v>0</v>
      </c>
      <c r="AX127" s="405">
        <f>IF(ISBLANK(Таблица7[[#This Row],[Дополнительное оружие]]),"", VLOOKUP(Таблица7[[#This Row],[Дополнительное оружие]], Оружие[#All], 2, 0))</f>
        <v>3</v>
      </c>
      <c r="AY12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2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2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127" s="405">
        <f>VLOOKUP(Таблица7[[#This Row],[Основное оружие]], Оружие[#All], 3, 0)</f>
        <v>1</v>
      </c>
      <c r="BC127" s="405">
        <f>IF(ISBLANK(Таблица7[[#This Row],[Дополнительное оружие]]),"", VLOOKUP(Таблица7[[#This Row],[Дополнительное оружие]], Оружие[#All], 3, 0))</f>
        <v>3</v>
      </c>
      <c r="BD12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12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9</v>
      </c>
      <c r="BF12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2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2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27" s="405">
        <f>Таблица7[[#This Row],[Броня]]+Таблица7[[#This Row],[Щит]]+Таблица7[[#This Row],[навык защиты]]</f>
        <v>17</v>
      </c>
      <c r="BK127" s="1006"/>
      <c r="BL127" s="1006"/>
      <c r="BM127" s="380"/>
      <c r="BN127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27" s="380">
        <v>1</v>
      </c>
      <c r="BP127" s="380">
        <v>-2</v>
      </c>
      <c r="BQ127" s="380">
        <v>0</v>
      </c>
      <c r="BR127" s="380">
        <v>-4</v>
      </c>
      <c r="BS127" s="380">
        <v>-2</v>
      </c>
      <c r="BT127" s="380">
        <v>10</v>
      </c>
      <c r="BU127" s="976" t="s">
        <v>1576</v>
      </c>
      <c r="BV127" s="976" t="s">
        <v>1843</v>
      </c>
      <c r="BW127" s="380"/>
      <c r="BX127" s="380"/>
      <c r="BY127" s="380"/>
      <c r="BZ127" s="70"/>
    </row>
    <row r="128" spans="1:78" s="67" customFormat="1" ht="40.5" customHeight="1" x14ac:dyDescent="0.25">
      <c r="A128" s="333">
        <v>127</v>
      </c>
      <c r="B128" s="293" t="s">
        <v>1265</v>
      </c>
      <c r="C128" s="293"/>
      <c r="D128" s="434" t="s">
        <v>1555</v>
      </c>
      <c r="E128" s="293" t="s">
        <v>1571</v>
      </c>
      <c r="F128" s="293"/>
      <c r="G128" s="293"/>
      <c r="H128" s="293"/>
      <c r="I128" s="648">
        <v>1</v>
      </c>
      <c r="J128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</v>
      </c>
      <c r="K128" s="595">
        <f>Таблица7[[#This Row],[Размер отряда минимум]]*1.25</f>
        <v>40</v>
      </c>
      <c r="L128" s="595">
        <f>Таблица7[[#This Row],[Размер отряда норма]]*1.5</f>
        <v>60</v>
      </c>
      <c r="M128" s="596">
        <f>Таблица7[[#This Row],[Размер отряда минимум]]*2.5</f>
        <v>80</v>
      </c>
      <c r="N128" s="596"/>
      <c r="O128" s="596"/>
      <c r="P128" s="596"/>
      <c r="Q128" s="596"/>
      <c r="R128" s="66" t="s">
        <v>7</v>
      </c>
      <c r="S128" s="955" t="s">
        <v>2880</v>
      </c>
      <c r="T128" s="293" t="s">
        <v>1032</v>
      </c>
      <c r="U128" s="732" t="s">
        <v>1557</v>
      </c>
      <c r="V128" s="459"/>
      <c r="W128" s="175" t="s">
        <v>1001</v>
      </c>
      <c r="X128" s="332" t="s">
        <v>1687</v>
      </c>
      <c r="Y128" s="332"/>
      <c r="Z128" s="332" t="s">
        <v>1441</v>
      </c>
      <c r="AA128" s="332"/>
      <c r="AB128" s="332" t="s">
        <v>944</v>
      </c>
      <c r="AC128" s="332"/>
      <c r="AD128" s="175" t="s">
        <v>1202</v>
      </c>
      <c r="AE128" s="175"/>
      <c r="AF128" s="66" t="s">
        <v>1478</v>
      </c>
      <c r="AG128" s="66"/>
      <c r="AH128" s="125" t="s">
        <v>985</v>
      </c>
      <c r="AI128" s="125"/>
      <c r="AJ128" s="175" t="s">
        <v>1487</v>
      </c>
      <c r="AK128" s="175"/>
      <c r="AL128" s="215" t="s">
        <v>985</v>
      </c>
      <c r="AM128" s="66" t="s">
        <v>978</v>
      </c>
      <c r="AN128" s="66" t="s">
        <v>1023</v>
      </c>
      <c r="AO128" s="66"/>
      <c r="AP128" s="66" t="s">
        <v>1061</v>
      </c>
      <c r="AQ128" s="66"/>
      <c r="AS128" s="67">
        <v>1500</v>
      </c>
      <c r="AT128" s="69"/>
      <c r="AU128" s="405">
        <v>8</v>
      </c>
      <c r="AV128" s="405" t="s">
        <v>1828</v>
      </c>
      <c r="AW128" s="405">
        <f>VLOOKUP(Таблица7[[#This Row],[Основное оружие]], Оружие[#All], 2, 0)</f>
        <v>0</v>
      </c>
      <c r="AX128" s="405">
        <f>IF(ISBLANK(Таблица7[[#This Row],[Дополнительное оружие]]),"", VLOOKUP(Таблица7[[#This Row],[Дополнительное оружие]], Оружие[#All], 2, 0))</f>
        <v>4</v>
      </c>
      <c r="AY12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2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2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28" s="405">
        <f>VLOOKUP(Таблица7[[#This Row],[Основное оружие]], Оружие[#All], 3, 0)</f>
        <v>1</v>
      </c>
      <c r="BC128" s="405">
        <f>IF(ISBLANK(Таблица7[[#This Row],[Дополнительное оружие]]),"", VLOOKUP(Таблица7[[#This Row],[Дополнительное оружие]], Оружие[#All], 3, 0))</f>
        <v>3</v>
      </c>
      <c r="BD12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12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9</v>
      </c>
      <c r="BF12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8" s="405" t="e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#N/A</v>
      </c>
      <c r="BH12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2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28" s="405">
        <f>Таблица7[[#This Row],[Броня]]+Таблица7[[#This Row],[Щит]]+Таблица7[[#This Row],[навык защиты]]</f>
        <v>17</v>
      </c>
      <c r="BK128" s="1006"/>
      <c r="BL128" s="1006"/>
      <c r="BM128" s="380"/>
      <c r="BN128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28" s="380">
        <v>1</v>
      </c>
      <c r="BP128" s="380">
        <v>-2</v>
      </c>
      <c r="BQ128" s="380">
        <v>0</v>
      </c>
      <c r="BR128" s="380">
        <v>-4</v>
      </c>
      <c r="BS128" s="380">
        <v>-2</v>
      </c>
      <c r="BT128" s="380">
        <v>10</v>
      </c>
      <c r="BU128" s="976" t="s">
        <v>1576</v>
      </c>
      <c r="BV128" s="976" t="s">
        <v>1843</v>
      </c>
      <c r="BW128" s="380"/>
      <c r="BX128" s="380"/>
      <c r="BY128" s="380"/>
      <c r="BZ128" s="70"/>
    </row>
    <row r="129" spans="1:78" s="67" customFormat="1" ht="40.5" customHeight="1" x14ac:dyDescent="0.25">
      <c r="A129" s="333">
        <v>128</v>
      </c>
      <c r="B129" s="293" t="s">
        <v>1266</v>
      </c>
      <c r="C129" s="293"/>
      <c r="D129" s="434" t="s">
        <v>1555</v>
      </c>
      <c r="E129" s="293" t="s">
        <v>1559</v>
      </c>
      <c r="F129" s="293"/>
      <c r="G129" s="293"/>
      <c r="H129" s="293"/>
      <c r="I129" s="648">
        <v>0.8</v>
      </c>
      <c r="J129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25.6</v>
      </c>
      <c r="K129" s="595">
        <f>Таблица7[[#This Row],[Размер отряда минимум]]*1.25</f>
        <v>32</v>
      </c>
      <c r="L129" s="595">
        <f>Таблица7[[#This Row],[Размер отряда норма]]*1.5</f>
        <v>48</v>
      </c>
      <c r="M129" s="596">
        <f>Таблица7[[#This Row],[Размер отряда минимум]]*2.5</f>
        <v>64</v>
      </c>
      <c r="N129" s="596"/>
      <c r="O129" s="596"/>
      <c r="P129" s="596"/>
      <c r="Q129" s="596"/>
      <c r="R129" s="66" t="s">
        <v>7</v>
      </c>
      <c r="S129" s="955" t="s">
        <v>2880</v>
      </c>
      <c r="T129" s="293" t="s">
        <v>1032</v>
      </c>
      <c r="U129" s="175" t="s">
        <v>1003</v>
      </c>
      <c r="V129" s="68"/>
      <c r="W129" s="175" t="s">
        <v>1001</v>
      </c>
      <c r="X129" s="66" t="s">
        <v>1528</v>
      </c>
      <c r="Y129" s="66"/>
      <c r="Z129" s="66" t="s">
        <v>1439</v>
      </c>
      <c r="AA129" s="66"/>
      <c r="AB129" s="66" t="s">
        <v>1596</v>
      </c>
      <c r="AC129" s="66"/>
      <c r="AD129" s="791" t="s">
        <v>1478</v>
      </c>
      <c r="AE129" s="791"/>
      <c r="AF129" s="66" t="s">
        <v>985</v>
      </c>
      <c r="AG129" s="66"/>
      <c r="AH129" s="66" t="s">
        <v>985</v>
      </c>
      <c r="AI129" s="66"/>
      <c r="AJ129" s="175" t="s">
        <v>1487</v>
      </c>
      <c r="AK129" s="175"/>
      <c r="AL129" s="215" t="s">
        <v>1163</v>
      </c>
      <c r="AM129" s="66" t="s">
        <v>977</v>
      </c>
      <c r="AN129" s="66" t="s">
        <v>1064</v>
      </c>
      <c r="AO129" s="66"/>
      <c r="AP129" s="66" t="s">
        <v>1062</v>
      </c>
      <c r="AQ129" s="66"/>
      <c r="AS129" s="67">
        <v>1500</v>
      </c>
      <c r="AT129" s="69"/>
      <c r="AU129" s="405">
        <v>8</v>
      </c>
      <c r="AV129" s="405"/>
      <c r="AW129" s="405">
        <f>VLOOKUP(Таблица7[[#This Row],[Основное оружие]], Оружие[#All], 2, 0)</f>
        <v>2</v>
      </c>
      <c r="AX129" s="405">
        <f>IF(ISBLANK(Таблица7[[#This Row],[Дополнительное оружие]]),"", VLOOKUP(Таблица7[[#This Row],[Дополнительное оружие]], Оружие[#All], 2, 0))</f>
        <v>3</v>
      </c>
      <c r="AY12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2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12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29" s="405">
        <f>VLOOKUP(Таблица7[[#This Row],[Основное оружие]], Оружие[#All], 3, 0)</f>
        <v>6</v>
      </c>
      <c r="BC129" s="405">
        <f>IF(ISBLANK(Таблица7[[#This Row],[Дополнительное оружие]]),"", VLOOKUP(Таблица7[[#This Row],[Дополнительное оружие]], Оружие[#All], 3, 0))</f>
        <v>3</v>
      </c>
      <c r="BD12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12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2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29" s="405" t="e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#N/A</v>
      </c>
      <c r="BH12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2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129" s="405">
        <f>Таблица7[[#This Row],[Броня]]+Таблица7[[#This Row],[Щит]]+Таблица7[[#This Row],[навык защиты]]</f>
        <v>25</v>
      </c>
      <c r="BK129" s="1006"/>
      <c r="BL129" s="1006"/>
      <c r="BM129" s="380"/>
      <c r="BN129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29" s="380">
        <v>1</v>
      </c>
      <c r="BP129" s="380">
        <v>-2</v>
      </c>
      <c r="BQ129" s="380">
        <v>0</v>
      </c>
      <c r="BR129" s="380">
        <v>-4</v>
      </c>
      <c r="BS129" s="380">
        <v>-2</v>
      </c>
      <c r="BT129" s="380">
        <v>10</v>
      </c>
      <c r="BU129" s="976" t="s">
        <v>1576</v>
      </c>
      <c r="BV129" s="976" t="s">
        <v>1843</v>
      </c>
      <c r="BW129" s="380"/>
      <c r="BX129" s="380"/>
      <c r="BY129" s="380"/>
      <c r="BZ129" s="70"/>
    </row>
    <row r="130" spans="1:78" s="67" customFormat="1" ht="40.5" customHeight="1" x14ac:dyDescent="0.25">
      <c r="A130" s="333">
        <v>129</v>
      </c>
      <c r="B130" s="293" t="s">
        <v>1267</v>
      </c>
      <c r="C130" s="293"/>
      <c r="D130" s="293" t="s">
        <v>1556</v>
      </c>
      <c r="E130" s="293" t="s">
        <v>1570</v>
      </c>
      <c r="F130" s="293"/>
      <c r="G130" s="293"/>
      <c r="H130" s="293"/>
      <c r="I130" s="648">
        <v>0.75</v>
      </c>
      <c r="J130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30" s="595">
        <f>Таблица7[[#This Row],[Размер отряда минимум]]*1.25</f>
        <v>84.375</v>
      </c>
      <c r="L130" s="595">
        <f>Таблица7[[#This Row],[Размер отряда норма]]*1.5</f>
        <v>126.5625</v>
      </c>
      <c r="M130" s="596">
        <f>Таблица7[[#This Row],[Размер отряда минимум]]*2.5</f>
        <v>168.75</v>
      </c>
      <c r="N130" s="596"/>
      <c r="O130" s="596"/>
      <c r="P130" s="596"/>
      <c r="Q130" s="596"/>
      <c r="R130" s="66" t="s">
        <v>7</v>
      </c>
      <c r="S130" s="955" t="s">
        <v>2880</v>
      </c>
      <c r="T130" s="293" t="s">
        <v>975</v>
      </c>
      <c r="U130" s="295" t="s">
        <v>1278</v>
      </c>
      <c r="V130" s="294"/>
      <c r="W130" s="175" t="s">
        <v>1001</v>
      </c>
      <c r="X130" s="293" t="s">
        <v>1689</v>
      </c>
      <c r="Y130" s="293"/>
      <c r="Z130" s="293" t="s">
        <v>1509</v>
      </c>
      <c r="AA130" s="293"/>
      <c r="AB130" s="293"/>
      <c r="AC130" s="293"/>
      <c r="AD130" s="175" t="s">
        <v>985</v>
      </c>
      <c r="AE130" s="175"/>
      <c r="AF130" s="125" t="s">
        <v>1027</v>
      </c>
      <c r="AG130" s="125"/>
      <c r="AH130" s="66" t="s">
        <v>1202</v>
      </c>
      <c r="AI130" s="66"/>
      <c r="AJ130" s="175" t="s">
        <v>985</v>
      </c>
      <c r="AK130" s="175"/>
      <c r="AL130" s="215" t="s">
        <v>985</v>
      </c>
      <c r="AM130" s="66" t="s">
        <v>977</v>
      </c>
      <c r="AN130" s="66" t="s">
        <v>1054</v>
      </c>
      <c r="AO130" s="66"/>
      <c r="AP130" s="66" t="s">
        <v>1060</v>
      </c>
      <c r="AQ130" s="66"/>
      <c r="AS130" s="67">
        <v>1500</v>
      </c>
      <c r="AT130" s="69">
        <v>1550</v>
      </c>
      <c r="AU130" s="405">
        <v>8</v>
      </c>
      <c r="AV130" s="405" t="s">
        <v>1828</v>
      </c>
      <c r="AW130" s="405">
        <f>VLOOKUP(Таблица7[[#This Row],[Основное оружие]], Оружие[#All], 2, 0)</f>
        <v>0</v>
      </c>
      <c r="AX130" s="405">
        <f>IF(ISBLANK(Таблица7[[#This Row],[Дополнительное оружие]]),"", VLOOKUP(Таблица7[[#This Row],[Дополнительное оружие]], Оружие[#All], 2, 0))</f>
        <v>3</v>
      </c>
      <c r="AY13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13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3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30" s="405">
        <f>VLOOKUP(Таблица7[[#This Row],[Основное оружие]], Оружие[#All], 3, 0)</f>
        <v>1</v>
      </c>
      <c r="BC130" s="405">
        <f>IF(ISBLANK(Таблица7[[#This Row],[Дополнительное оружие]]),"", VLOOKUP(Таблица7[[#This Row],[Дополнительное оружие]], Оружие[#All], 3, 0))</f>
        <v>3</v>
      </c>
      <c r="BD13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3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30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13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3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13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30" s="405">
        <f>Таблица7[[#This Row],[Броня]]+Таблица7[[#This Row],[Щит]]+Таблица7[[#This Row],[навык защиты]]</f>
        <v>10</v>
      </c>
      <c r="BK130" s="1006"/>
      <c r="BL130" s="1006"/>
      <c r="BM130" s="380"/>
      <c r="BN130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30" s="380">
        <v>1</v>
      </c>
      <c r="BP130" s="380">
        <v>1</v>
      </c>
      <c r="BQ130" s="380">
        <v>0</v>
      </c>
      <c r="BR130" s="380">
        <v>2</v>
      </c>
      <c r="BS130" s="380">
        <v>0</v>
      </c>
      <c r="BT130" s="380">
        <v>11</v>
      </c>
      <c r="BU130" s="976" t="s">
        <v>1840</v>
      </c>
      <c r="BV130" s="976" t="s">
        <v>1843</v>
      </c>
      <c r="BW130" s="380"/>
      <c r="BX130" s="380"/>
      <c r="BY130" s="380"/>
      <c r="BZ130" s="70"/>
    </row>
    <row r="131" spans="1:78" s="67" customFormat="1" ht="40.5" customHeight="1" x14ac:dyDescent="0.25">
      <c r="A131" s="333">
        <v>130</v>
      </c>
      <c r="B131" s="293" t="s">
        <v>1267</v>
      </c>
      <c r="C131" s="293"/>
      <c r="D131" s="293" t="s">
        <v>1556</v>
      </c>
      <c r="E131" s="293" t="s">
        <v>1570</v>
      </c>
      <c r="F131" s="293"/>
      <c r="G131" s="293"/>
      <c r="H131" s="293"/>
      <c r="I131" s="648">
        <v>0.75</v>
      </c>
      <c r="J131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131" s="595">
        <f>Таблица7[[#This Row],[Размер отряда минимум]]*1.25</f>
        <v>93.75</v>
      </c>
      <c r="L131" s="595">
        <f>Таблица7[[#This Row],[Размер отряда норма]]*1.5</f>
        <v>140.625</v>
      </c>
      <c r="M131" s="596">
        <f>Таблица7[[#This Row],[Размер отряда минимум]]*2.5</f>
        <v>187.5</v>
      </c>
      <c r="N131" s="596"/>
      <c r="O131" s="596"/>
      <c r="P131" s="596"/>
      <c r="Q131" s="596"/>
      <c r="R131" s="66" t="s">
        <v>7</v>
      </c>
      <c r="S131" s="955" t="s">
        <v>2880</v>
      </c>
      <c r="T131" s="293" t="s">
        <v>976</v>
      </c>
      <c r="U131" s="295" t="s">
        <v>1065</v>
      </c>
      <c r="V131" s="294"/>
      <c r="W131" s="175" t="s">
        <v>1001</v>
      </c>
      <c r="X131" s="293" t="s">
        <v>1689</v>
      </c>
      <c r="Y131" s="293"/>
      <c r="Z131" s="293" t="s">
        <v>1441</v>
      </c>
      <c r="AA131" s="293"/>
      <c r="AB131" s="293"/>
      <c r="AC131" s="293"/>
      <c r="AD131" s="295" t="s">
        <v>985</v>
      </c>
      <c r="AE131" s="295"/>
      <c r="AF131" s="293" t="s">
        <v>985</v>
      </c>
      <c r="AG131" s="293"/>
      <c r="AH131" s="293" t="s">
        <v>985</v>
      </c>
      <c r="AI131" s="293"/>
      <c r="AJ131" s="295" t="s">
        <v>985</v>
      </c>
      <c r="AK131" s="295"/>
      <c r="AL131" s="296" t="s">
        <v>985</v>
      </c>
      <c r="AM131" s="66" t="s">
        <v>977</v>
      </c>
      <c r="AN131" s="66" t="s">
        <v>1054</v>
      </c>
      <c r="AO131" s="66"/>
      <c r="AP131" s="66" t="s">
        <v>1060</v>
      </c>
      <c r="AQ131" s="66"/>
      <c r="AS131" s="67">
        <v>1550</v>
      </c>
      <c r="AT131" s="69"/>
      <c r="AU131" s="405">
        <v>8</v>
      </c>
      <c r="AV131" s="405" t="s">
        <v>1828</v>
      </c>
      <c r="AW131" s="405">
        <f>VLOOKUP(Таблица7[[#This Row],[Основное оружие]], Оружие[#All], 2, 0)</f>
        <v>0</v>
      </c>
      <c r="AX131" s="405">
        <f>IF(ISBLANK(Таблица7[[#This Row],[Дополнительное оружие]]),"", VLOOKUP(Таблица7[[#This Row],[Дополнительное оружие]], Оружие[#All], 2, 0))</f>
        <v>4</v>
      </c>
      <c r="AY13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13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3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131" s="405">
        <f>VLOOKUP(Таблица7[[#This Row],[Основное оружие]], Оружие[#All], 3, 0)</f>
        <v>1</v>
      </c>
      <c r="BC131" s="405">
        <f>IF(ISBLANK(Таблица7[[#This Row],[Дополнительное оружие]]),"", VLOOKUP(Таблица7[[#This Row],[Дополнительное оружие]], Оружие[#All], 3, 0))</f>
        <v>3</v>
      </c>
      <c r="BD13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3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3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3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3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13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31" s="405">
        <f>Таблица7[[#This Row],[Броня]]+Таблица7[[#This Row],[Щит]]+Таблица7[[#This Row],[навык защиты]]</f>
        <v>10</v>
      </c>
      <c r="BK131" s="1006"/>
      <c r="BL131" s="1006"/>
      <c r="BM131" s="380"/>
      <c r="BN131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31" s="380">
        <v>1</v>
      </c>
      <c r="BP131" s="380">
        <v>1</v>
      </c>
      <c r="BQ131" s="380">
        <v>0</v>
      </c>
      <c r="BR131" s="380">
        <v>2</v>
      </c>
      <c r="BS131" s="380">
        <v>0</v>
      </c>
      <c r="BT131" s="380">
        <v>11</v>
      </c>
      <c r="BU131" s="976" t="s">
        <v>1840</v>
      </c>
      <c r="BV131" s="976" t="s">
        <v>1843</v>
      </c>
      <c r="BW131" s="380"/>
      <c r="BX131" s="380"/>
      <c r="BY131" s="380"/>
      <c r="BZ131" s="70"/>
    </row>
    <row r="132" spans="1:78" s="67" customFormat="1" ht="40.5" customHeight="1" x14ac:dyDescent="0.25">
      <c r="A132" s="333">
        <v>131</v>
      </c>
      <c r="B132" s="293" t="s">
        <v>1268</v>
      </c>
      <c r="C132" s="293"/>
      <c r="D132" s="293" t="s">
        <v>1556</v>
      </c>
      <c r="E132" s="293" t="s">
        <v>1570</v>
      </c>
      <c r="F132" s="293"/>
      <c r="G132" s="293"/>
      <c r="H132" s="293"/>
      <c r="I132" s="648">
        <v>0.75</v>
      </c>
      <c r="J132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32" s="595">
        <f>Таблица7[[#This Row],[Размер отряда минимум]]*1.25</f>
        <v>84.375</v>
      </c>
      <c r="L132" s="595">
        <f>Таблица7[[#This Row],[Размер отряда норма]]*1.5</f>
        <v>126.5625</v>
      </c>
      <c r="M132" s="596">
        <f>Таблица7[[#This Row],[Размер отряда минимум]]*2.5</f>
        <v>168.75</v>
      </c>
      <c r="N132" s="596"/>
      <c r="O132" s="596"/>
      <c r="P132" s="596"/>
      <c r="Q132" s="596"/>
      <c r="R132" s="66" t="s">
        <v>7</v>
      </c>
      <c r="S132" s="955" t="s">
        <v>2880</v>
      </c>
      <c r="T132" s="66" t="s">
        <v>975</v>
      </c>
      <c r="U132" s="175" t="s">
        <v>1073</v>
      </c>
      <c r="V132" s="68"/>
      <c r="W132" s="175" t="s">
        <v>1001</v>
      </c>
      <c r="X132" s="66" t="s">
        <v>1467</v>
      </c>
      <c r="Y132" s="66"/>
      <c r="Z132" s="66" t="s">
        <v>1509</v>
      </c>
      <c r="AA132" s="66"/>
      <c r="AB132" s="66"/>
      <c r="AC132" s="66"/>
      <c r="AD132" s="175" t="s">
        <v>985</v>
      </c>
      <c r="AE132" s="175"/>
      <c r="AF132" s="125" t="s">
        <v>1027</v>
      </c>
      <c r="AG132" s="125"/>
      <c r="AH132" s="66" t="s">
        <v>1202</v>
      </c>
      <c r="AI132" s="66"/>
      <c r="AJ132" s="175" t="s">
        <v>985</v>
      </c>
      <c r="AK132" s="175"/>
      <c r="AL132" s="215" t="s">
        <v>985</v>
      </c>
      <c r="AM132" s="66" t="s">
        <v>977</v>
      </c>
      <c r="AN132" s="66" t="s">
        <v>1054</v>
      </c>
      <c r="AO132" s="66"/>
      <c r="AP132" s="66" t="s">
        <v>1060</v>
      </c>
      <c r="AQ132" s="66"/>
      <c r="AS132" s="67">
        <v>1500</v>
      </c>
      <c r="AT132" s="69">
        <v>1550</v>
      </c>
      <c r="AU132" s="405">
        <v>8</v>
      </c>
      <c r="AV132" s="405" t="s">
        <v>1828</v>
      </c>
      <c r="AW132" s="405">
        <f>VLOOKUP(Таблица7[[#This Row],[Основное оружие]], Оружие[#All], 2, 0)</f>
        <v>0</v>
      </c>
      <c r="AX132" s="405">
        <f>IF(ISBLANK(Таблица7[[#This Row],[Дополнительное оружие]]),"", VLOOKUP(Таблица7[[#This Row],[Дополнительное оружие]], Оружие[#All], 2, 0))</f>
        <v>3</v>
      </c>
      <c r="AY13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13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3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32" s="405">
        <f>VLOOKUP(Таблица7[[#This Row],[Основное оружие]], Оружие[#All], 3, 0)</f>
        <v>1</v>
      </c>
      <c r="BC132" s="405">
        <f>IF(ISBLANK(Таблица7[[#This Row],[Дополнительное оружие]]),"", VLOOKUP(Таблица7[[#This Row],[Дополнительное оружие]], Оружие[#All], 3, 0))</f>
        <v>3</v>
      </c>
      <c r="BD13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3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32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13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3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13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32" s="405">
        <f>Таблица7[[#This Row],[Броня]]+Таблица7[[#This Row],[Щит]]+Таблица7[[#This Row],[навык защиты]]</f>
        <v>10</v>
      </c>
      <c r="BK132" s="1006"/>
      <c r="BL132" s="1006"/>
      <c r="BM132" s="380"/>
      <c r="BN132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32" s="380">
        <v>1</v>
      </c>
      <c r="BP132" s="380">
        <v>1</v>
      </c>
      <c r="BQ132" s="380">
        <v>0</v>
      </c>
      <c r="BR132" s="380">
        <v>2</v>
      </c>
      <c r="BS132" s="380">
        <v>0</v>
      </c>
      <c r="BT132" s="380">
        <v>11</v>
      </c>
      <c r="BU132" s="976" t="s">
        <v>1840</v>
      </c>
      <c r="BV132" s="976" t="s">
        <v>1843</v>
      </c>
      <c r="BW132" s="380"/>
      <c r="BX132" s="380"/>
      <c r="BY132" s="380"/>
      <c r="BZ132" s="70"/>
    </row>
    <row r="133" spans="1:78" s="67" customFormat="1" ht="40.5" customHeight="1" x14ac:dyDescent="0.25">
      <c r="A133" s="333">
        <v>132</v>
      </c>
      <c r="B133" s="293" t="s">
        <v>1269</v>
      </c>
      <c r="C133" s="293"/>
      <c r="D133" s="293" t="s">
        <v>1556</v>
      </c>
      <c r="E133" s="293" t="s">
        <v>1570</v>
      </c>
      <c r="F133" s="293"/>
      <c r="G133" s="293"/>
      <c r="H133" s="293"/>
      <c r="I133" s="648">
        <v>0.75</v>
      </c>
      <c r="J133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33" s="595">
        <f>Таблица7[[#This Row],[Размер отряда минимум]]*1.25</f>
        <v>84.375</v>
      </c>
      <c r="L133" s="595">
        <f>Таблица7[[#This Row],[Размер отряда норма]]*1.5</f>
        <v>126.5625</v>
      </c>
      <c r="M133" s="596">
        <f>Таблица7[[#This Row],[Размер отряда минимум]]*2.5</f>
        <v>168.75</v>
      </c>
      <c r="N133" s="596"/>
      <c r="O133" s="596"/>
      <c r="P133" s="596"/>
      <c r="Q133" s="596"/>
      <c r="R133" s="66" t="s">
        <v>7</v>
      </c>
      <c r="S133" s="955" t="s">
        <v>2880</v>
      </c>
      <c r="T133" s="66" t="s">
        <v>975</v>
      </c>
      <c r="U133" s="734" t="s">
        <v>1192</v>
      </c>
      <c r="V133" s="251"/>
      <c r="W133" s="175" t="s">
        <v>1001</v>
      </c>
      <c r="X133" s="252" t="s">
        <v>1687</v>
      </c>
      <c r="Y133" s="252"/>
      <c r="Z133" s="252" t="s">
        <v>1509</v>
      </c>
      <c r="AA133" s="252"/>
      <c r="AB133" s="252"/>
      <c r="AC133" s="252"/>
      <c r="AD133" s="175" t="s">
        <v>985</v>
      </c>
      <c r="AE133" s="175"/>
      <c r="AF133" s="125" t="s">
        <v>1027</v>
      </c>
      <c r="AG133" s="125"/>
      <c r="AH133" s="66" t="s">
        <v>1202</v>
      </c>
      <c r="AI133" s="66"/>
      <c r="AJ133" s="175" t="s">
        <v>985</v>
      </c>
      <c r="AK133" s="175"/>
      <c r="AL133" s="215" t="s">
        <v>985</v>
      </c>
      <c r="AM133" s="66" t="s">
        <v>977</v>
      </c>
      <c r="AN133" s="66" t="s">
        <v>1054</v>
      </c>
      <c r="AO133" s="66"/>
      <c r="AP133" s="66" t="s">
        <v>1060</v>
      </c>
      <c r="AQ133" s="66"/>
      <c r="AS133" s="67">
        <v>1500</v>
      </c>
      <c r="AT133" s="69">
        <v>1550</v>
      </c>
      <c r="AU133" s="405">
        <v>8</v>
      </c>
      <c r="AV133" s="405" t="s">
        <v>1828</v>
      </c>
      <c r="AW133" s="405">
        <f>VLOOKUP(Таблица7[[#This Row],[Основное оружие]], Оружие[#All], 2, 0)</f>
        <v>0</v>
      </c>
      <c r="AX133" s="405">
        <f>IF(ISBLANK(Таблица7[[#This Row],[Дополнительное оружие]]),"", VLOOKUP(Таблица7[[#This Row],[Дополнительное оружие]], Оружие[#All], 2, 0))</f>
        <v>3</v>
      </c>
      <c r="AY13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13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3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33" s="405">
        <f>VLOOKUP(Таблица7[[#This Row],[Основное оружие]], Оружие[#All], 3, 0)</f>
        <v>1</v>
      </c>
      <c r="BC133" s="405">
        <f>IF(ISBLANK(Таблица7[[#This Row],[Дополнительное оружие]]),"", VLOOKUP(Таблица7[[#This Row],[Дополнительное оружие]], Оружие[#All], 3, 0))</f>
        <v>3</v>
      </c>
      <c r="BD13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3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33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13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3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13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33" s="405">
        <f>Таблица7[[#This Row],[Броня]]+Таблица7[[#This Row],[Щит]]+Таблица7[[#This Row],[навык защиты]]</f>
        <v>10</v>
      </c>
      <c r="BK133" s="1006"/>
      <c r="BL133" s="1006"/>
      <c r="BM133" s="380"/>
      <c r="BN133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33" s="380">
        <v>1</v>
      </c>
      <c r="BP133" s="380">
        <v>1</v>
      </c>
      <c r="BQ133" s="380">
        <v>0</v>
      </c>
      <c r="BR133" s="380">
        <v>2</v>
      </c>
      <c r="BS133" s="380">
        <v>0</v>
      </c>
      <c r="BT133" s="380">
        <v>11</v>
      </c>
      <c r="BU133" s="976" t="s">
        <v>1840</v>
      </c>
      <c r="BV133" s="976" t="s">
        <v>1843</v>
      </c>
      <c r="BW133" s="380"/>
      <c r="BX133" s="380"/>
      <c r="BY133" s="380"/>
      <c r="BZ133" s="70"/>
    </row>
    <row r="134" spans="1:78" s="67" customFormat="1" ht="40.5" customHeight="1" x14ac:dyDescent="0.25">
      <c r="A134" s="333">
        <v>133</v>
      </c>
      <c r="B134" s="293" t="s">
        <v>1270</v>
      </c>
      <c r="C134" s="293"/>
      <c r="D134" s="293" t="s">
        <v>1556</v>
      </c>
      <c r="E134" s="293" t="s">
        <v>1570</v>
      </c>
      <c r="F134" s="293"/>
      <c r="G134" s="293"/>
      <c r="H134" s="293"/>
      <c r="I134" s="648">
        <v>1</v>
      </c>
      <c r="J134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134" s="595">
        <f>Таблица7[[#This Row],[Размер отряда минимум]]*1.25</f>
        <v>125</v>
      </c>
      <c r="L134" s="595">
        <f>Таблица7[[#This Row],[Размер отряда норма]]*1.5</f>
        <v>187.5</v>
      </c>
      <c r="M134" s="596">
        <f>Таблица7[[#This Row],[Размер отряда минимум]]*2.5</f>
        <v>250</v>
      </c>
      <c r="N134" s="596"/>
      <c r="O134" s="596"/>
      <c r="P134" s="596"/>
      <c r="Q134" s="596"/>
      <c r="R134" s="66" t="s">
        <v>7</v>
      </c>
      <c r="S134" s="955" t="s">
        <v>2880</v>
      </c>
      <c r="T134" s="66" t="s">
        <v>1032</v>
      </c>
      <c r="U134" s="175" t="s">
        <v>1074</v>
      </c>
      <c r="V134" s="68"/>
      <c r="W134" s="66" t="s">
        <v>984</v>
      </c>
      <c r="X134" s="66" t="s">
        <v>1470</v>
      </c>
      <c r="Y134" s="66"/>
      <c r="Z134" s="66" t="s">
        <v>1021</v>
      </c>
      <c r="AA134" s="66"/>
      <c r="AB134" s="66"/>
      <c r="AC134" s="66"/>
      <c r="AD134" s="175" t="s">
        <v>985</v>
      </c>
      <c r="AE134" s="175"/>
      <c r="AF134" s="66" t="s">
        <v>985</v>
      </c>
      <c r="AG134" s="66"/>
      <c r="AH134" s="66" t="s">
        <v>985</v>
      </c>
      <c r="AI134" s="66"/>
      <c r="AJ134" s="175" t="s">
        <v>985</v>
      </c>
      <c r="AK134" s="175"/>
      <c r="AL134" s="215" t="s">
        <v>985</v>
      </c>
      <c r="AM134" s="66" t="s">
        <v>935</v>
      </c>
      <c r="AN134" s="66" t="s">
        <v>955</v>
      </c>
      <c r="AO134" s="66"/>
      <c r="AP134" s="66" t="s">
        <v>1057</v>
      </c>
      <c r="AQ134" s="66"/>
      <c r="AS134" s="67">
        <v>1500</v>
      </c>
      <c r="AT134" s="69">
        <v>1550</v>
      </c>
      <c r="AU134" s="405">
        <v>1</v>
      </c>
      <c r="AV134" s="405" t="s">
        <v>1826</v>
      </c>
      <c r="AW134" s="405">
        <f>VLOOKUP(Таблица7[[#This Row],[Основное оружие]], Оружие[#All], 2, 0)</f>
        <v>0</v>
      </c>
      <c r="AX134" s="405">
        <f>IF(ISBLANK(Таблица7[[#This Row],[Дополнительное оружие]]),"", VLOOKUP(Таблица7[[#This Row],[Дополнительное оружие]], Оружие[#All], 2, 0))</f>
        <v>1</v>
      </c>
      <c r="AY13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3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3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4</v>
      </c>
      <c r="BB134" s="405">
        <f>VLOOKUP(Таблица7[[#This Row],[Основное оружие]], Оружие[#All], 3, 0)</f>
        <v>1</v>
      </c>
      <c r="BC134" s="405">
        <f>IF(ISBLANK(Таблица7[[#This Row],[Дополнительное оружие]]),"", VLOOKUP(Таблица7[[#This Row],[Дополнительное оружие]], Оружие[#All], 3, 0))</f>
        <v>1</v>
      </c>
      <c r="BD13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3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3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3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3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3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34" s="405">
        <f>Таблица7[[#This Row],[Броня]]+Таблица7[[#This Row],[Щит]]+Таблица7[[#This Row],[навык защиты]]</f>
        <v>3</v>
      </c>
      <c r="BK134" s="1006"/>
      <c r="BL134" s="1006"/>
      <c r="BM134" s="380"/>
      <c r="BN134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34" s="380">
        <v>1</v>
      </c>
      <c r="BP134" s="380">
        <v>1</v>
      </c>
      <c r="BQ134" s="380">
        <v>0</v>
      </c>
      <c r="BR134" s="380">
        <v>2</v>
      </c>
      <c r="BS134" s="380">
        <v>0</v>
      </c>
      <c r="BT134" s="380">
        <v>2</v>
      </c>
      <c r="BU134" s="976" t="s">
        <v>1839</v>
      </c>
      <c r="BV134" s="976" t="s">
        <v>1842</v>
      </c>
      <c r="BW134" s="380"/>
      <c r="BX134" s="380"/>
      <c r="BY134" s="380"/>
      <c r="BZ134" s="70"/>
    </row>
    <row r="135" spans="1:78" s="67" customFormat="1" ht="40.5" customHeight="1" x14ac:dyDescent="0.25">
      <c r="A135" s="333">
        <v>134</v>
      </c>
      <c r="B135" s="293" t="s">
        <v>1271</v>
      </c>
      <c r="C135" s="293"/>
      <c r="D135" s="293" t="s">
        <v>1556</v>
      </c>
      <c r="E135" s="293" t="s">
        <v>1559</v>
      </c>
      <c r="F135" s="293"/>
      <c r="G135" s="293"/>
      <c r="H135" s="293"/>
      <c r="I135" s="648">
        <v>0.75</v>
      </c>
      <c r="J135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35" s="595">
        <f>Таблица7[[#This Row],[Размер отряда минимум]]*1.25</f>
        <v>84.375</v>
      </c>
      <c r="L135" s="595">
        <f>Таблица7[[#This Row],[Размер отряда норма]]*1.5</f>
        <v>126.5625</v>
      </c>
      <c r="M135" s="596">
        <f>Таблица7[[#This Row],[Размер отряда минимум]]*2.5</f>
        <v>168.75</v>
      </c>
      <c r="N135" s="596"/>
      <c r="O135" s="596"/>
      <c r="P135" s="596"/>
      <c r="Q135" s="596"/>
      <c r="R135" s="66" t="s">
        <v>7</v>
      </c>
      <c r="S135" s="955" t="s">
        <v>2880</v>
      </c>
      <c r="T135" s="293" t="s">
        <v>1032</v>
      </c>
      <c r="U135" s="175" t="s">
        <v>1521</v>
      </c>
      <c r="V135" s="68"/>
      <c r="W135" s="66" t="s">
        <v>1001</v>
      </c>
      <c r="X135" s="434" t="s">
        <v>1063</v>
      </c>
      <c r="Y135" s="434"/>
      <c r="Z135" s="66"/>
      <c r="AA135" s="66"/>
      <c r="AB135" s="66"/>
      <c r="AC135" s="66"/>
      <c r="AD135" s="175" t="s">
        <v>1478</v>
      </c>
      <c r="AE135" s="175"/>
      <c r="AF135" s="125" t="s">
        <v>985</v>
      </c>
      <c r="AG135" s="125"/>
      <c r="AH135" s="66" t="s">
        <v>1487</v>
      </c>
      <c r="AI135" s="66"/>
      <c r="AJ135" s="366" t="s">
        <v>1075</v>
      </c>
      <c r="AK135" s="366"/>
      <c r="AL135" s="215" t="s">
        <v>985</v>
      </c>
      <c r="AM135" s="926" t="s">
        <v>935</v>
      </c>
      <c r="AN135" s="66" t="s">
        <v>1076</v>
      </c>
      <c r="AO135" s="66"/>
      <c r="AP135" s="66" t="s">
        <v>1066</v>
      </c>
      <c r="AQ135" s="66"/>
      <c r="AS135" s="67">
        <v>1500</v>
      </c>
      <c r="AT135" s="69"/>
      <c r="AU135" s="405">
        <v>10</v>
      </c>
      <c r="AV135" s="405"/>
      <c r="AW135" s="405">
        <f>VLOOKUP(Таблица7[[#This Row],[Основное оружие]], Оружие[#All], 2, 0)</f>
        <v>5</v>
      </c>
      <c r="AX135" s="405" t="str">
        <f>IF(ISBLANK(Таблица7[[#This Row],[Дополнительное оружие]]),"", VLOOKUP(Таблица7[[#This Row],[Дополнительное оружие]], Оружие[#All], 2, 0))</f>
        <v/>
      </c>
      <c r="AY13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3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13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35" s="405">
        <f>VLOOKUP(Таблица7[[#This Row],[Основное оружие]], Оружие[#All], 3, 0)</f>
        <v>8</v>
      </c>
      <c r="BC135" s="405" t="str">
        <f>IF(ISBLANK(Таблица7[[#This Row],[Дополнительное оружие]]),"", VLOOKUP(Таблица7[[#This Row],[Дополнительное оружие]], Оружие[#All], 3, 0))</f>
        <v/>
      </c>
      <c r="BD13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13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35" s="405" t="e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#N/A</v>
      </c>
      <c r="BG135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13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10</v>
      </c>
      <c r="BI13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35" s="405">
        <f>Таблица7[[#This Row],[Броня]]+Таблица7[[#This Row],[Щит]]+Таблица7[[#This Row],[навык защиты]]</f>
        <v>21</v>
      </c>
      <c r="BK135" s="1006"/>
      <c r="BL135" s="1006"/>
      <c r="BM135" s="380"/>
      <c r="BN135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35" s="380">
        <v>1</v>
      </c>
      <c r="BP135" s="380">
        <v>0</v>
      </c>
      <c r="BQ135" s="380">
        <v>0</v>
      </c>
      <c r="BR135" s="380">
        <v>0</v>
      </c>
      <c r="BS135" s="380">
        <v>0</v>
      </c>
      <c r="BT135" s="691" t="s">
        <v>1832</v>
      </c>
      <c r="BU135" s="976" t="s">
        <v>1840</v>
      </c>
      <c r="BV135" s="976" t="s">
        <v>1844</v>
      </c>
      <c r="BW135" s="380"/>
      <c r="BX135" s="380"/>
      <c r="BY135" s="380"/>
      <c r="BZ135" s="70"/>
    </row>
    <row r="136" spans="1:78" s="67" customFormat="1" ht="40.5" customHeight="1" x14ac:dyDescent="0.25">
      <c r="A136" s="333">
        <v>135</v>
      </c>
      <c r="B136" s="293" t="s">
        <v>1277</v>
      </c>
      <c r="C136" s="293"/>
      <c r="D136" s="434" t="s">
        <v>1555</v>
      </c>
      <c r="E136" s="293" t="s">
        <v>1572</v>
      </c>
      <c r="F136" s="293"/>
      <c r="G136" s="293"/>
      <c r="H136" s="293"/>
      <c r="I136" s="648">
        <v>0.8</v>
      </c>
      <c r="J136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19.200000000000003</v>
      </c>
      <c r="K136" s="595">
        <f>Таблица7[[#This Row],[Размер отряда минимум]]*1.25</f>
        <v>24.000000000000004</v>
      </c>
      <c r="L136" s="595">
        <f>Таблица7[[#This Row],[Размер отряда норма]]*1.5</f>
        <v>36.000000000000007</v>
      </c>
      <c r="M136" s="596">
        <f>Таблица7[[#This Row],[Размер отряда минимум]]*2.5</f>
        <v>48.000000000000007</v>
      </c>
      <c r="N136" s="596"/>
      <c r="O136" s="596"/>
      <c r="P136" s="596"/>
      <c r="Q136" s="596"/>
      <c r="R136" s="66" t="s">
        <v>7</v>
      </c>
      <c r="S136" s="955" t="s">
        <v>2880</v>
      </c>
      <c r="T136" s="293" t="s">
        <v>1032</v>
      </c>
      <c r="U136" s="295" t="s">
        <v>1008</v>
      </c>
      <c r="V136" s="294"/>
      <c r="W136" s="175" t="s">
        <v>1001</v>
      </c>
      <c r="X136" s="347" t="s">
        <v>1687</v>
      </c>
      <c r="Y136" s="347"/>
      <c r="Z136" s="347" t="s">
        <v>1020</v>
      </c>
      <c r="AA136" s="347"/>
      <c r="AB136" s="347" t="s">
        <v>1596</v>
      </c>
      <c r="AC136" s="347"/>
      <c r="AD136" s="175" t="s">
        <v>2325</v>
      </c>
      <c r="AE136" s="175"/>
      <c r="AF136" s="66" t="s">
        <v>985</v>
      </c>
      <c r="AG136" s="66"/>
      <c r="AH136" s="66" t="s">
        <v>985</v>
      </c>
      <c r="AI136" s="66"/>
      <c r="AJ136" s="175" t="s">
        <v>985</v>
      </c>
      <c r="AK136" s="175"/>
      <c r="AL136" s="215" t="s">
        <v>1163</v>
      </c>
      <c r="AM136" s="926" t="s">
        <v>935</v>
      </c>
      <c r="AN136" s="66" t="s">
        <v>1076</v>
      </c>
      <c r="AO136" s="66"/>
      <c r="AP136" s="66" t="s">
        <v>1066</v>
      </c>
      <c r="AQ136" s="66"/>
      <c r="AS136" s="67">
        <v>1500</v>
      </c>
      <c r="AT136" s="69"/>
      <c r="AU136" s="405">
        <v>9</v>
      </c>
      <c r="AV136" s="405" t="s">
        <v>1828</v>
      </c>
      <c r="AW136" s="405">
        <f>VLOOKUP(Таблица7[[#This Row],[Основное оружие]], Оружие[#All], 2, 0)</f>
        <v>0</v>
      </c>
      <c r="AX136" s="405">
        <f>IF(ISBLANK(Таблица7[[#This Row],[Дополнительное оружие]]),"", VLOOKUP(Таблица7[[#This Row],[Дополнительное оружие]], Оружие[#All], 2, 0))</f>
        <v>2</v>
      </c>
      <c r="AY13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3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3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36" s="405">
        <f>VLOOKUP(Таблица7[[#This Row],[Основное оружие]], Оружие[#All], 3, 0)</f>
        <v>1</v>
      </c>
      <c r="BC136" s="405">
        <f>IF(ISBLANK(Таблица7[[#This Row],[Дополнительное оружие]]),"", VLOOKUP(Таблица7[[#This Row],[Дополнительное оружие]], Оружие[#All], 3, 0))</f>
        <v>3</v>
      </c>
      <c r="BD13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3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3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3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3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3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136" s="405">
        <f>Таблица7[[#This Row],[Броня]]+Таблица7[[#This Row],[Щит]]+Таблица7[[#This Row],[навык защиты]]</f>
        <v>32</v>
      </c>
      <c r="BK136" s="1006"/>
      <c r="BL136" s="1006"/>
      <c r="BM136" s="380"/>
      <c r="BN136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36" s="380">
        <v>1</v>
      </c>
      <c r="BP136" s="380">
        <v>-2</v>
      </c>
      <c r="BQ136" s="380">
        <v>0</v>
      </c>
      <c r="BR136" s="380">
        <v>-4</v>
      </c>
      <c r="BS136" s="380">
        <v>-2</v>
      </c>
      <c r="BT136" s="380">
        <v>11</v>
      </c>
      <c r="BU136" s="976" t="s">
        <v>1840</v>
      </c>
      <c r="BV136" s="976" t="s">
        <v>1843</v>
      </c>
      <c r="BW136" s="380"/>
      <c r="BX136" s="380"/>
      <c r="BY136" s="380"/>
      <c r="BZ136" s="70"/>
    </row>
    <row r="137" spans="1:78" s="67" customFormat="1" ht="40.5" customHeight="1" x14ac:dyDescent="0.25">
      <c r="A137" s="333">
        <v>136</v>
      </c>
      <c r="B137" s="293" t="s">
        <v>1274</v>
      </c>
      <c r="C137" s="293"/>
      <c r="D137" s="434" t="s">
        <v>1555</v>
      </c>
      <c r="E137" s="66" t="s">
        <v>1547</v>
      </c>
      <c r="F137" s="66"/>
      <c r="G137" s="66"/>
      <c r="H137" s="66"/>
      <c r="I137" s="648">
        <v>0.8</v>
      </c>
      <c r="J137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19.200000000000003</v>
      </c>
      <c r="K137" s="595">
        <f>Таблица7[[#This Row],[Размер отряда минимум]]*1.25</f>
        <v>24.000000000000004</v>
      </c>
      <c r="L137" s="595">
        <f>Таблица7[[#This Row],[Размер отряда норма]]*1.5</f>
        <v>36.000000000000007</v>
      </c>
      <c r="M137" s="596">
        <f>Таблица7[[#This Row],[Размер отряда минимум]]*2.5</f>
        <v>48.000000000000007</v>
      </c>
      <c r="N137" s="596"/>
      <c r="O137" s="596"/>
      <c r="P137" s="596"/>
      <c r="Q137" s="596"/>
      <c r="R137" s="66" t="s">
        <v>7</v>
      </c>
      <c r="S137" s="955" t="s">
        <v>2880</v>
      </c>
      <c r="T137" s="293" t="s">
        <v>1032</v>
      </c>
      <c r="U137" s="295" t="s">
        <v>1008</v>
      </c>
      <c r="V137" s="294"/>
      <c r="W137" s="293" t="s">
        <v>1001</v>
      </c>
      <c r="X137" s="347" t="s">
        <v>1528</v>
      </c>
      <c r="Y137" s="347"/>
      <c r="Z137" s="347" t="s">
        <v>1020</v>
      </c>
      <c r="AA137" s="347"/>
      <c r="AB137" s="347" t="s">
        <v>1596</v>
      </c>
      <c r="AC137" s="347"/>
      <c r="AD137" s="175" t="s">
        <v>2325</v>
      </c>
      <c r="AE137" s="175"/>
      <c r="AF137" s="66" t="s">
        <v>985</v>
      </c>
      <c r="AG137" s="66"/>
      <c r="AH137" s="66" t="s">
        <v>985</v>
      </c>
      <c r="AI137" s="66"/>
      <c r="AJ137" s="175" t="s">
        <v>985</v>
      </c>
      <c r="AK137" s="175"/>
      <c r="AL137" s="215" t="s">
        <v>1163</v>
      </c>
      <c r="AM137" s="926" t="s">
        <v>935</v>
      </c>
      <c r="AN137" s="66" t="s">
        <v>1076</v>
      </c>
      <c r="AO137" s="66"/>
      <c r="AP137" s="66" t="s">
        <v>1066</v>
      </c>
      <c r="AQ137" s="66"/>
      <c r="AS137" s="67">
        <v>1500</v>
      </c>
      <c r="AT137" s="69"/>
      <c r="AU137" s="405">
        <v>9</v>
      </c>
      <c r="AV137" s="405"/>
      <c r="AW137" s="405">
        <f>VLOOKUP(Таблица7[[#This Row],[Основное оружие]], Оружие[#All], 2, 0)</f>
        <v>2</v>
      </c>
      <c r="AX137" s="405">
        <f>IF(ISBLANK(Таблица7[[#This Row],[Дополнительное оружие]]),"", VLOOKUP(Таблица7[[#This Row],[Дополнительное оружие]], Оружие[#All], 2, 0))</f>
        <v>2</v>
      </c>
      <c r="AY13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3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13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37" s="405">
        <f>VLOOKUP(Таблица7[[#This Row],[Основное оружие]], Оружие[#All], 3, 0)</f>
        <v>6</v>
      </c>
      <c r="BC137" s="405">
        <f>IF(ISBLANK(Таблица7[[#This Row],[Дополнительное оружие]]),"", VLOOKUP(Таблица7[[#This Row],[Дополнительное оружие]], Оружие[#All], 3, 0))</f>
        <v>3</v>
      </c>
      <c r="BD13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3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3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3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3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3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137" s="405">
        <f>Таблица7[[#This Row],[Броня]]+Таблица7[[#This Row],[Щит]]+Таблица7[[#This Row],[навык защиты]]</f>
        <v>32</v>
      </c>
      <c r="BK137" s="1006"/>
      <c r="BL137" s="1006"/>
      <c r="BM137" s="380"/>
      <c r="BN137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37" s="380">
        <v>1</v>
      </c>
      <c r="BP137" s="380">
        <v>-2</v>
      </c>
      <c r="BQ137" s="380">
        <v>0</v>
      </c>
      <c r="BR137" s="380">
        <v>-4</v>
      </c>
      <c r="BS137" s="380">
        <v>-2</v>
      </c>
      <c r="BT137" s="691" t="s">
        <v>1832</v>
      </c>
      <c r="BU137" s="976" t="s">
        <v>1840</v>
      </c>
      <c r="BV137" s="976" t="s">
        <v>1844</v>
      </c>
      <c r="BW137" s="380"/>
      <c r="BX137" s="380"/>
      <c r="BY137" s="380"/>
      <c r="BZ137" s="70"/>
    </row>
    <row r="138" spans="1:78" s="67" customFormat="1" ht="40.5" customHeight="1" x14ac:dyDescent="0.25">
      <c r="A138" s="333">
        <v>137</v>
      </c>
      <c r="B138" s="293" t="s">
        <v>1273</v>
      </c>
      <c r="C138" s="293"/>
      <c r="D138" s="434" t="s">
        <v>1555</v>
      </c>
      <c r="E138" s="66" t="s">
        <v>1547</v>
      </c>
      <c r="F138" s="66"/>
      <c r="G138" s="66"/>
      <c r="H138" s="66"/>
      <c r="I138" s="648">
        <v>0.6</v>
      </c>
      <c r="J138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138" s="595">
        <f>Таблица7[[#This Row],[Размер отряда минимум]]*1.25</f>
        <v>15</v>
      </c>
      <c r="L138" s="595">
        <f>Таблица7[[#This Row],[Размер отряда норма]]*1.5</f>
        <v>22.5</v>
      </c>
      <c r="M138" s="596">
        <f>Таблица7[[#This Row],[Размер отряда минимум]]*2.5</f>
        <v>30</v>
      </c>
      <c r="N138" s="596"/>
      <c r="O138" s="596"/>
      <c r="P138" s="596"/>
      <c r="Q138" s="596"/>
      <c r="R138" s="66" t="s">
        <v>7</v>
      </c>
      <c r="S138" s="955" t="s">
        <v>2880</v>
      </c>
      <c r="T138" s="66" t="s">
        <v>975</v>
      </c>
      <c r="U138" s="175" t="s">
        <v>1007</v>
      </c>
      <c r="V138" s="68"/>
      <c r="W138" s="66" t="s">
        <v>1001</v>
      </c>
      <c r="X138" s="66" t="s">
        <v>1528</v>
      </c>
      <c r="Y138" s="66"/>
      <c r="Z138" s="66" t="s">
        <v>1439</v>
      </c>
      <c r="AA138" s="66"/>
      <c r="AB138" s="66" t="s">
        <v>1596</v>
      </c>
      <c r="AC138" s="66"/>
      <c r="AD138" s="175" t="s">
        <v>2325</v>
      </c>
      <c r="AE138" s="175"/>
      <c r="AF138" s="66" t="s">
        <v>985</v>
      </c>
      <c r="AG138" s="66"/>
      <c r="AH138" s="66" t="s">
        <v>985</v>
      </c>
      <c r="AI138" s="66"/>
      <c r="AJ138" s="175" t="s">
        <v>985</v>
      </c>
      <c r="AK138" s="175"/>
      <c r="AL138" s="215" t="s">
        <v>1163</v>
      </c>
      <c r="AM138" s="66" t="s">
        <v>935</v>
      </c>
      <c r="AN138" s="66" t="s">
        <v>952</v>
      </c>
      <c r="AO138" s="66"/>
      <c r="AP138" s="66" t="s">
        <v>952</v>
      </c>
      <c r="AQ138" s="66"/>
      <c r="AR138" s="66"/>
      <c r="AS138" s="66">
        <v>1500</v>
      </c>
      <c r="AT138" s="69">
        <v>1550</v>
      </c>
      <c r="AU138" s="405">
        <v>10</v>
      </c>
      <c r="AV138" s="405"/>
      <c r="AW138" s="405">
        <f>VLOOKUP(Таблица7[[#This Row],[Основное оружие]], Оружие[#All], 2, 0)</f>
        <v>2</v>
      </c>
      <c r="AX138" s="405">
        <f>IF(ISBLANK(Таблица7[[#This Row],[Дополнительное оружие]]),"", VLOOKUP(Таблица7[[#This Row],[Дополнительное оружие]], Оружие[#All], 2, 0))</f>
        <v>3</v>
      </c>
      <c r="AY13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3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3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38" s="405">
        <f>VLOOKUP(Таблица7[[#This Row],[Основное оружие]], Оружие[#All], 3, 0)</f>
        <v>6</v>
      </c>
      <c r="BC138" s="405">
        <f>IF(ISBLANK(Таблица7[[#This Row],[Дополнительное оружие]]),"", VLOOKUP(Таблица7[[#This Row],[Дополнительное оружие]], Оружие[#All], 3, 0))</f>
        <v>3</v>
      </c>
      <c r="BD13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3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3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3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3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3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138" s="405">
        <f>Таблица7[[#This Row],[Броня]]+Таблица7[[#This Row],[Щит]]+Таблица7[[#This Row],[навык защиты]]</f>
        <v>33</v>
      </c>
      <c r="BK138" s="1006"/>
      <c r="BL138" s="1006"/>
      <c r="BM138" s="380"/>
      <c r="BN138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38" s="380">
        <v>1</v>
      </c>
      <c r="BP138" s="380">
        <v>-2</v>
      </c>
      <c r="BQ138" s="380">
        <v>0</v>
      </c>
      <c r="BR138" s="380">
        <v>-4</v>
      </c>
      <c r="BS138" s="380">
        <v>-2</v>
      </c>
      <c r="BT138" s="380">
        <v>11</v>
      </c>
      <c r="BU138" s="976" t="s">
        <v>1840</v>
      </c>
      <c r="BV138" s="976" t="s">
        <v>1844</v>
      </c>
      <c r="BW138" s="380"/>
      <c r="BX138" s="380"/>
      <c r="BY138" s="380"/>
      <c r="BZ138" s="70"/>
    </row>
    <row r="139" spans="1:78" s="67" customFormat="1" ht="40.5" customHeight="1" x14ac:dyDescent="0.25">
      <c r="A139" s="333">
        <v>138</v>
      </c>
      <c r="B139" s="293" t="s">
        <v>1272</v>
      </c>
      <c r="C139" s="293"/>
      <c r="D139" s="434" t="s">
        <v>1555</v>
      </c>
      <c r="E139" s="66" t="s">
        <v>1547</v>
      </c>
      <c r="F139" s="66"/>
      <c r="G139" s="66"/>
      <c r="H139" s="66"/>
      <c r="I139" s="648">
        <v>0.6</v>
      </c>
      <c r="J139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14.399999999999999</v>
      </c>
      <c r="K139" s="595">
        <f>Таблица7[[#This Row],[Размер отряда минимум]]*1.25</f>
        <v>18</v>
      </c>
      <c r="L139" s="595">
        <f>Таблица7[[#This Row],[Размер отряда норма]]*1.5</f>
        <v>27</v>
      </c>
      <c r="M139" s="596">
        <f>Таблица7[[#This Row],[Размер отряда минимум]]*2.5</f>
        <v>36</v>
      </c>
      <c r="N139" s="596"/>
      <c r="O139" s="596"/>
      <c r="P139" s="596"/>
      <c r="Q139" s="596"/>
      <c r="R139" s="66" t="s">
        <v>7</v>
      </c>
      <c r="S139" s="955" t="s">
        <v>2880</v>
      </c>
      <c r="T139" s="66" t="s">
        <v>976</v>
      </c>
      <c r="U139" s="175" t="s">
        <v>1007</v>
      </c>
      <c r="V139" s="68"/>
      <c r="W139" s="66" t="s">
        <v>1001</v>
      </c>
      <c r="X139" s="347" t="s">
        <v>1528</v>
      </c>
      <c r="Y139" s="347"/>
      <c r="Z139" s="347" t="s">
        <v>1441</v>
      </c>
      <c r="AA139" s="347"/>
      <c r="AB139" s="347" t="s">
        <v>1596</v>
      </c>
      <c r="AC139" s="347"/>
      <c r="AD139" s="175" t="s">
        <v>2325</v>
      </c>
      <c r="AE139" s="175"/>
      <c r="AF139" s="66" t="s">
        <v>985</v>
      </c>
      <c r="AG139" s="66"/>
      <c r="AH139" s="66" t="s">
        <v>985</v>
      </c>
      <c r="AI139" s="66"/>
      <c r="AJ139" s="175" t="s">
        <v>985</v>
      </c>
      <c r="AK139" s="175"/>
      <c r="AL139" s="215" t="s">
        <v>1163</v>
      </c>
      <c r="AM139" s="66" t="s">
        <v>935</v>
      </c>
      <c r="AN139" s="66" t="s">
        <v>952</v>
      </c>
      <c r="AO139" s="66"/>
      <c r="AP139" s="66" t="s">
        <v>952</v>
      </c>
      <c r="AQ139" s="66"/>
      <c r="AR139" s="66"/>
      <c r="AS139" s="66">
        <v>1550</v>
      </c>
      <c r="AT139" s="69"/>
      <c r="AU139" s="405">
        <v>10</v>
      </c>
      <c r="AV139" s="405"/>
      <c r="AW139" s="405">
        <f>VLOOKUP(Таблица7[[#This Row],[Основное оружие]], Оружие[#All], 2, 0)</f>
        <v>2</v>
      </c>
      <c r="AX139" s="405">
        <f>IF(ISBLANK(Таблица7[[#This Row],[Дополнительное оружие]]),"", VLOOKUP(Таблица7[[#This Row],[Дополнительное оружие]], Оружие[#All], 2, 0))</f>
        <v>4</v>
      </c>
      <c r="AY13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3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3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39" s="405">
        <f>VLOOKUP(Таблица7[[#This Row],[Основное оружие]], Оружие[#All], 3, 0)</f>
        <v>6</v>
      </c>
      <c r="BC139" s="405">
        <f>IF(ISBLANK(Таблица7[[#This Row],[Дополнительное оружие]]),"", VLOOKUP(Таблица7[[#This Row],[Дополнительное оружие]], Оружие[#All], 3, 0))</f>
        <v>3</v>
      </c>
      <c r="BD13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3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3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3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3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3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139" s="405">
        <f>Таблица7[[#This Row],[Броня]]+Таблица7[[#This Row],[Щит]]+Таблица7[[#This Row],[навык защиты]]</f>
        <v>33</v>
      </c>
      <c r="BK139" s="1006"/>
      <c r="BL139" s="1006"/>
      <c r="BM139" s="380"/>
      <c r="BN139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39" s="380">
        <v>1</v>
      </c>
      <c r="BP139" s="380">
        <v>-2</v>
      </c>
      <c r="BQ139" s="380">
        <v>0</v>
      </c>
      <c r="BR139" s="380">
        <v>-4</v>
      </c>
      <c r="BS139" s="380">
        <v>-2</v>
      </c>
      <c r="BT139" s="380">
        <v>11</v>
      </c>
      <c r="BU139" s="976" t="s">
        <v>1840</v>
      </c>
      <c r="BV139" s="976" t="s">
        <v>1844</v>
      </c>
      <c r="BW139" s="380"/>
      <c r="BX139" s="380"/>
      <c r="BY139" s="380"/>
      <c r="BZ139" s="70"/>
    </row>
    <row r="140" spans="1:78" s="71" customFormat="1" ht="40.5" customHeight="1" x14ac:dyDescent="0.25">
      <c r="A140" s="333">
        <v>139</v>
      </c>
      <c r="B140" s="508" t="s">
        <v>1632</v>
      </c>
      <c r="C140" s="508"/>
      <c r="D140" s="508" t="s">
        <v>1556</v>
      </c>
      <c r="E140" s="71" t="s">
        <v>1558</v>
      </c>
      <c r="I140" s="649">
        <v>1</v>
      </c>
      <c r="J140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140" s="597">
        <f>Таблица7[[#This Row],[Размер отряда минимум]]*1.25</f>
        <v>112.5</v>
      </c>
      <c r="L140" s="597">
        <f>Таблица7[[#This Row],[Размер отряда норма]]*1.5</f>
        <v>168.75</v>
      </c>
      <c r="M140" s="598">
        <f>Таблица7[[#This Row],[Размер отряда минимум]]*2.5</f>
        <v>225</v>
      </c>
      <c r="N140" s="598"/>
      <c r="O140" s="598"/>
      <c r="P140" s="598"/>
      <c r="Q140" s="598"/>
      <c r="R140" s="508" t="s">
        <v>8</v>
      </c>
      <c r="S140" s="956" t="s">
        <v>2881</v>
      </c>
      <c r="T140" s="508" t="s">
        <v>975</v>
      </c>
      <c r="U140" s="530" t="s">
        <v>1644</v>
      </c>
      <c r="V140" s="759"/>
      <c r="W140" s="530" t="s">
        <v>1001</v>
      </c>
      <c r="X140" s="71" t="s">
        <v>1059</v>
      </c>
      <c r="AB140" s="71" t="s">
        <v>1453</v>
      </c>
      <c r="AD140" s="792" t="s">
        <v>1491</v>
      </c>
      <c r="AE140" s="792"/>
      <c r="AF140" s="71" t="s">
        <v>1483</v>
      </c>
      <c r="AH140" s="508" t="s">
        <v>985</v>
      </c>
      <c r="AI140" s="508"/>
      <c r="AJ140" s="530" t="s">
        <v>985</v>
      </c>
      <c r="AK140" s="530"/>
      <c r="AL140" s="531" t="s">
        <v>985</v>
      </c>
      <c r="AM140" s="508" t="s">
        <v>935</v>
      </c>
      <c r="AN140" s="508" t="s">
        <v>955</v>
      </c>
      <c r="AO140" s="508"/>
      <c r="AP140" s="508" t="s">
        <v>8</v>
      </c>
      <c r="AQ140" s="508"/>
      <c r="AS140" s="71">
        <v>1500</v>
      </c>
      <c r="AT140" s="72">
        <v>1550</v>
      </c>
      <c r="AU140" s="405">
        <v>1</v>
      </c>
      <c r="AV140" s="405"/>
      <c r="AW140" s="405">
        <f>VLOOKUP(Таблица7[[#This Row],[Основное оружие]], Оружие[#All], 2, 0)</f>
        <v>2</v>
      </c>
      <c r="AX140" s="405" t="str">
        <f>IF(ISBLANK(Таблица7[[#This Row],[Дополнительное оружие]]),"", VLOOKUP(Таблица7[[#This Row],[Дополнительное оружие]], Оружие[#All], 2, 0))</f>
        <v/>
      </c>
      <c r="AY14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14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14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40" s="405">
        <f>VLOOKUP(Таблица7[[#This Row],[Основное оружие]], Оружие[#All], 3, 0)</f>
        <v>3</v>
      </c>
      <c r="BC140" s="405" t="str">
        <f>IF(ISBLANK(Таблица7[[#This Row],[Дополнительное оружие]]),"", VLOOKUP(Таблица7[[#This Row],[Дополнительное оружие]], Оружие[#All], 3, 0))</f>
        <v/>
      </c>
      <c r="BD14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9</v>
      </c>
      <c r="BE14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11</v>
      </c>
      <c r="BF14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4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9</v>
      </c>
      <c r="BJ140" s="405">
        <f>Таблица7[[#This Row],[Броня]]+Таблица7[[#This Row],[Щит]]+Таблица7[[#This Row],[навык защиты]]</f>
        <v>20</v>
      </c>
      <c r="BK140" s="1006"/>
      <c r="BL140" s="1006"/>
      <c r="BM140" s="381"/>
      <c r="BN140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40" s="381">
        <v>2</v>
      </c>
      <c r="BP140" s="381">
        <v>0</v>
      </c>
      <c r="BQ140" s="381">
        <v>-1</v>
      </c>
      <c r="BR140" s="381">
        <v>-1</v>
      </c>
      <c r="BS140" s="381">
        <v>1</v>
      </c>
      <c r="BT140" s="381">
        <v>2</v>
      </c>
      <c r="BU140" s="977" t="s">
        <v>1839</v>
      </c>
      <c r="BV140" s="977" t="s">
        <v>1842</v>
      </c>
      <c r="BW140" s="381"/>
      <c r="BX140" s="381"/>
      <c r="BY140" s="381"/>
      <c r="BZ140" s="73"/>
    </row>
    <row r="141" spans="1:78" s="71" customFormat="1" ht="40.5" customHeight="1" x14ac:dyDescent="0.25">
      <c r="A141" s="333">
        <v>140</v>
      </c>
      <c r="B141" s="508" t="s">
        <v>1632</v>
      </c>
      <c r="C141" s="508"/>
      <c r="D141" s="508" t="s">
        <v>1556</v>
      </c>
      <c r="E141" s="71" t="s">
        <v>1570</v>
      </c>
      <c r="I141" s="649">
        <v>1</v>
      </c>
      <c r="J141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141" s="597">
        <f>Таблица7[[#This Row],[Размер отряда минимум]]*1.25</f>
        <v>125</v>
      </c>
      <c r="L141" s="597">
        <f>Таблица7[[#This Row],[Размер отряда норма]]*1.5</f>
        <v>187.5</v>
      </c>
      <c r="M141" s="598">
        <f>Таблица7[[#This Row],[Размер отряда минимум]]*2.5</f>
        <v>250</v>
      </c>
      <c r="N141" s="598"/>
      <c r="O141" s="598"/>
      <c r="P141" s="598"/>
      <c r="Q141" s="598"/>
      <c r="R141" s="71" t="s">
        <v>8</v>
      </c>
      <c r="S141" s="956" t="s">
        <v>2881</v>
      </c>
      <c r="T141" s="508" t="s">
        <v>976</v>
      </c>
      <c r="U141" s="530" t="s">
        <v>1176</v>
      </c>
      <c r="V141" s="759"/>
      <c r="W141" s="530" t="s">
        <v>984</v>
      </c>
      <c r="X141" s="71" t="s">
        <v>1469</v>
      </c>
      <c r="Z141" s="508" t="s">
        <v>1579</v>
      </c>
      <c r="AA141" s="508"/>
      <c r="AD141" s="530" t="s">
        <v>985</v>
      </c>
      <c r="AE141" s="530"/>
      <c r="AF141" s="508" t="s">
        <v>985</v>
      </c>
      <c r="AG141" s="508"/>
      <c r="AH141" s="508" t="s">
        <v>985</v>
      </c>
      <c r="AI141" s="508"/>
      <c r="AJ141" s="530" t="s">
        <v>985</v>
      </c>
      <c r="AK141" s="530"/>
      <c r="AL141" s="531" t="s">
        <v>985</v>
      </c>
      <c r="AM141" s="508" t="s">
        <v>935</v>
      </c>
      <c r="AN141" s="508" t="s">
        <v>955</v>
      </c>
      <c r="AO141" s="508"/>
      <c r="AP141" s="508" t="s">
        <v>8</v>
      </c>
      <c r="AQ141" s="508"/>
      <c r="AS141" s="71">
        <v>1550</v>
      </c>
      <c r="AT141" s="72"/>
      <c r="AU141" s="405">
        <v>1</v>
      </c>
      <c r="AV141" s="405" t="s">
        <v>1827</v>
      </c>
      <c r="AW141" s="405">
        <f>VLOOKUP(Таблица7[[#This Row],[Основное оружие]], Оружие[#All], 2, 0)</f>
        <v>0</v>
      </c>
      <c r="AX141" s="405">
        <f>IF(ISBLANK(Таблица7[[#This Row],[Дополнительное оружие]]),"", VLOOKUP(Таблица7[[#This Row],[Дополнительное оружие]], Оружие[#All], 2, 0))</f>
        <v>1</v>
      </c>
      <c r="AY14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4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4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4</v>
      </c>
      <c r="BB141" s="405">
        <f>VLOOKUP(Таблица7[[#This Row],[Основное оружие]], Оружие[#All], 3, 0)</f>
        <v>1</v>
      </c>
      <c r="BC141" s="405">
        <f>IF(ISBLANK(Таблица7[[#This Row],[Дополнительное оружие]]),"", VLOOKUP(Таблица7[[#This Row],[Дополнительное оружие]], Оружие[#All], 3, 0))</f>
        <v>1</v>
      </c>
      <c r="BD14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4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4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4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41" s="405">
        <f>Таблица7[[#This Row],[Броня]]+Таблица7[[#This Row],[Щит]]+Таблица7[[#This Row],[навык защиты]]</f>
        <v>3</v>
      </c>
      <c r="BK141" s="1006"/>
      <c r="BL141" s="1006"/>
      <c r="BM141" s="381"/>
      <c r="BN141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41" s="381">
        <v>2</v>
      </c>
      <c r="BP141" s="381">
        <v>1</v>
      </c>
      <c r="BQ141" s="381">
        <v>-1</v>
      </c>
      <c r="BR141" s="381">
        <v>2</v>
      </c>
      <c r="BS141" s="381">
        <v>1</v>
      </c>
      <c r="BT141" s="381">
        <v>2</v>
      </c>
      <c r="BU141" s="977" t="s">
        <v>1839</v>
      </c>
      <c r="BV141" s="977" t="s">
        <v>1842</v>
      </c>
      <c r="BW141" s="381"/>
      <c r="BX141" s="381"/>
      <c r="BY141" s="381"/>
      <c r="BZ141" s="73"/>
    </row>
    <row r="142" spans="1:78" s="71" customFormat="1" ht="40.5" customHeight="1" x14ac:dyDescent="0.25">
      <c r="A142" s="333">
        <v>141</v>
      </c>
      <c r="B142" s="508" t="s">
        <v>1633</v>
      </c>
      <c r="C142" s="508"/>
      <c r="D142" s="508" t="s">
        <v>1556</v>
      </c>
      <c r="E142" s="71" t="s">
        <v>1570</v>
      </c>
      <c r="I142" s="649">
        <v>0.75</v>
      </c>
      <c r="J142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142" s="597">
        <f>Таблица7[[#This Row],[Размер отряда минимум]]*1.25</f>
        <v>93.75</v>
      </c>
      <c r="L142" s="597">
        <f>Таблица7[[#This Row],[Размер отряда норма]]*1.5</f>
        <v>140.625</v>
      </c>
      <c r="M142" s="598">
        <f>Таблица7[[#This Row],[Размер отряда минимум]]*2.5</f>
        <v>187.5</v>
      </c>
      <c r="N142" s="598"/>
      <c r="O142" s="598"/>
      <c r="P142" s="598"/>
      <c r="Q142" s="598"/>
      <c r="R142" s="71" t="s">
        <v>8</v>
      </c>
      <c r="S142" s="956" t="s">
        <v>2881</v>
      </c>
      <c r="T142" s="508" t="s">
        <v>1032</v>
      </c>
      <c r="U142" s="530" t="s">
        <v>1645</v>
      </c>
      <c r="V142" s="759"/>
      <c r="W142" s="530" t="s">
        <v>984</v>
      </c>
      <c r="X142" s="71" t="s">
        <v>1689</v>
      </c>
      <c r="Z142" s="508" t="s">
        <v>1020</v>
      </c>
      <c r="AA142" s="508"/>
      <c r="AD142" s="530" t="s">
        <v>985</v>
      </c>
      <c r="AE142" s="530"/>
      <c r="AF142" s="508" t="s">
        <v>985</v>
      </c>
      <c r="AG142" s="508"/>
      <c r="AH142" s="508" t="s">
        <v>985</v>
      </c>
      <c r="AI142" s="508"/>
      <c r="AJ142" s="530" t="s">
        <v>985</v>
      </c>
      <c r="AK142" s="530"/>
      <c r="AL142" s="531" t="s">
        <v>985</v>
      </c>
      <c r="AM142" s="508" t="s">
        <v>978</v>
      </c>
      <c r="AN142" s="508" t="s">
        <v>992</v>
      </c>
      <c r="AO142" s="508"/>
      <c r="AP142" s="508" t="s">
        <v>8</v>
      </c>
      <c r="AQ142" s="508"/>
      <c r="AS142" s="71">
        <v>1500</v>
      </c>
      <c r="AT142" s="72"/>
      <c r="AU142" s="405">
        <v>2</v>
      </c>
      <c r="AV142" s="405" t="s">
        <v>1827</v>
      </c>
      <c r="AW142" s="405">
        <f>VLOOKUP(Таблица7[[#This Row],[Основное оружие]], Оружие[#All], 2, 0)</f>
        <v>0</v>
      </c>
      <c r="AX142" s="405">
        <f>IF(ISBLANK(Таблица7[[#This Row],[Дополнительное оружие]]),"", VLOOKUP(Таблица7[[#This Row],[Дополнительное оружие]], Оружие[#All], 2, 0))</f>
        <v>2</v>
      </c>
      <c r="AY14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4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4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6</v>
      </c>
      <c r="BB142" s="405">
        <f>VLOOKUP(Таблица7[[#This Row],[Основное оружие]], Оружие[#All], 3, 0)</f>
        <v>1</v>
      </c>
      <c r="BC142" s="405">
        <f>IF(ISBLANK(Таблица7[[#This Row],[Дополнительное оружие]]),"", VLOOKUP(Таблица7[[#This Row],[Дополнительное оружие]], Оружие[#All], 3, 0))</f>
        <v>3</v>
      </c>
      <c r="BD14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4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4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4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42" s="405">
        <f>Таблица7[[#This Row],[Броня]]+Таблица7[[#This Row],[Щит]]+Таблица7[[#This Row],[навык защиты]]</f>
        <v>4</v>
      </c>
      <c r="BK142" s="1006"/>
      <c r="BL142" s="1006"/>
      <c r="BM142" s="381"/>
      <c r="BN142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42" s="381">
        <v>1</v>
      </c>
      <c r="BP142" s="381">
        <v>1</v>
      </c>
      <c r="BQ142" s="381">
        <v>0</v>
      </c>
      <c r="BR142" s="381">
        <v>2</v>
      </c>
      <c r="BS142" s="381">
        <v>0</v>
      </c>
      <c r="BT142" s="381">
        <v>6</v>
      </c>
      <c r="BU142" s="977" t="s">
        <v>1576</v>
      </c>
      <c r="BV142" s="977" t="s">
        <v>1842</v>
      </c>
      <c r="BW142" s="381"/>
      <c r="BX142" s="381"/>
      <c r="BY142" s="381"/>
      <c r="BZ142" s="73"/>
    </row>
    <row r="143" spans="1:78" s="71" customFormat="1" ht="40.5" customHeight="1" x14ac:dyDescent="0.25">
      <c r="A143" s="333">
        <v>142</v>
      </c>
      <c r="B143" s="508" t="s">
        <v>1634</v>
      </c>
      <c r="C143" s="508"/>
      <c r="D143" s="508" t="s">
        <v>1555</v>
      </c>
      <c r="E143" s="71" t="s">
        <v>1571</v>
      </c>
      <c r="I143" s="649">
        <v>0.9</v>
      </c>
      <c r="J143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25.2</v>
      </c>
      <c r="K143" s="597">
        <f>Таблица7[[#This Row],[Размер отряда минимум]]*1.25</f>
        <v>31.5</v>
      </c>
      <c r="L143" s="597">
        <f>Таблица7[[#This Row],[Размер отряда норма]]*1.5</f>
        <v>47.25</v>
      </c>
      <c r="M143" s="598">
        <f>Таблица7[[#This Row],[Размер отряда минимум]]*2.5</f>
        <v>63</v>
      </c>
      <c r="N143" s="598"/>
      <c r="O143" s="598"/>
      <c r="P143" s="598"/>
      <c r="Q143" s="598"/>
      <c r="R143" s="71" t="s">
        <v>8</v>
      </c>
      <c r="S143" s="956" t="s">
        <v>2881</v>
      </c>
      <c r="T143" s="508" t="s">
        <v>975</v>
      </c>
      <c r="U143" s="530" t="s">
        <v>1646</v>
      </c>
      <c r="V143" s="759"/>
      <c r="W143" s="530" t="s">
        <v>984</v>
      </c>
      <c r="X143" s="508" t="s">
        <v>1692</v>
      </c>
      <c r="Y143" s="508"/>
      <c r="Z143" s="508" t="s">
        <v>1036</v>
      </c>
      <c r="AA143" s="508"/>
      <c r="AD143" s="792" t="s">
        <v>1491</v>
      </c>
      <c r="AE143" s="792"/>
      <c r="AF143" s="71" t="s">
        <v>1483</v>
      </c>
      <c r="AH143" s="508" t="s">
        <v>985</v>
      </c>
      <c r="AI143" s="508"/>
      <c r="AJ143" s="530" t="s">
        <v>985</v>
      </c>
      <c r="AK143" s="530"/>
      <c r="AL143" s="531" t="s">
        <v>985</v>
      </c>
      <c r="AM143" s="508" t="s">
        <v>978</v>
      </c>
      <c r="AN143" s="508" t="s">
        <v>992</v>
      </c>
      <c r="AO143" s="508"/>
      <c r="AP143" s="508" t="s">
        <v>8</v>
      </c>
      <c r="AQ143" s="508"/>
      <c r="AS143" s="71">
        <v>1500</v>
      </c>
      <c r="AT143" s="72">
        <v>1560</v>
      </c>
      <c r="AU143" s="405">
        <v>3</v>
      </c>
      <c r="AV143" s="405" t="s">
        <v>1827</v>
      </c>
      <c r="AW143" s="405">
        <f>VLOOKUP(Таблица7[[#This Row],[Основное оружие]], Оружие[#All], 2, 0)</f>
        <v>8</v>
      </c>
      <c r="AX143" s="405">
        <f>IF(ISBLANK(Таблица7[[#This Row],[Дополнительное оружие]]),"", VLOOKUP(Таблица7[[#This Row],[Дополнительное оружие]], Оружие[#All], 2, 0))</f>
        <v>5</v>
      </c>
      <c r="AY14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4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14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143" s="405">
        <f>VLOOKUP(Таблица7[[#This Row],[Основное оружие]], Оружие[#All], 3, 0)</f>
        <v>1</v>
      </c>
      <c r="BC143" s="405">
        <f>IF(ISBLANK(Таблица7[[#This Row],[Дополнительное оружие]]),"", VLOOKUP(Таблица7[[#This Row],[Дополнительное оружие]], Оружие[#All], 3, 0))</f>
        <v>3</v>
      </c>
      <c r="BD14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7</v>
      </c>
      <c r="BE14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9</v>
      </c>
      <c r="BF14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14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43" s="405">
        <f>Таблица7[[#This Row],[Броня]]+Таблица7[[#This Row],[Щит]]+Таблица7[[#This Row],[навык защиты]]</f>
        <v>8</v>
      </c>
      <c r="BK143" s="1006"/>
      <c r="BL143" s="1006"/>
      <c r="BM143" s="381"/>
      <c r="BN143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43" s="381">
        <v>2</v>
      </c>
      <c r="BP143" s="381">
        <v>-2</v>
      </c>
      <c r="BQ143" s="381">
        <v>0</v>
      </c>
      <c r="BR143" s="381">
        <v>-4</v>
      </c>
      <c r="BS143" s="381">
        <v>-2</v>
      </c>
      <c r="BT143" s="381">
        <v>6</v>
      </c>
      <c r="BU143" s="977" t="s">
        <v>1576</v>
      </c>
      <c r="BV143" s="977" t="s">
        <v>1843</v>
      </c>
      <c r="BW143" s="381"/>
      <c r="BX143" s="381"/>
      <c r="BY143" s="381"/>
      <c r="BZ143" s="73"/>
    </row>
    <row r="144" spans="1:78" s="71" customFormat="1" ht="40.5" customHeight="1" x14ac:dyDescent="0.25">
      <c r="A144" s="333">
        <v>143</v>
      </c>
      <c r="B144" s="508" t="s">
        <v>1647</v>
      </c>
      <c r="C144" s="508"/>
      <c r="D144" s="508" t="s">
        <v>1555</v>
      </c>
      <c r="E144" s="71" t="s">
        <v>1570</v>
      </c>
      <c r="I144" s="649">
        <v>0.9</v>
      </c>
      <c r="J144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44" s="597">
        <f>Таблица7[[#This Row],[Размер отряда минимум]]*1.25</f>
        <v>45</v>
      </c>
      <c r="L144" s="597">
        <f>Таблица7[[#This Row],[Размер отряда норма]]*1.5</f>
        <v>67.5</v>
      </c>
      <c r="M144" s="598">
        <f>Таблица7[[#This Row],[Размер отряда минимум]]*2.5</f>
        <v>90</v>
      </c>
      <c r="N144" s="598"/>
      <c r="O144" s="598"/>
      <c r="P144" s="598"/>
      <c r="Q144" s="598"/>
      <c r="R144" s="71" t="s">
        <v>8</v>
      </c>
      <c r="S144" s="956" t="s">
        <v>2881</v>
      </c>
      <c r="T144" s="508" t="s">
        <v>1032</v>
      </c>
      <c r="U144" s="530" t="s">
        <v>1139</v>
      </c>
      <c r="V144" s="759"/>
      <c r="W144" s="530" t="s">
        <v>984</v>
      </c>
      <c r="X144" s="508" t="s">
        <v>1683</v>
      </c>
      <c r="Y144" s="508"/>
      <c r="Z144" s="508" t="s">
        <v>1441</v>
      </c>
      <c r="AA144" s="508"/>
      <c r="AD144" s="530" t="s">
        <v>985</v>
      </c>
      <c r="AE144" s="530"/>
      <c r="AF144" s="508" t="s">
        <v>985</v>
      </c>
      <c r="AG144" s="508"/>
      <c r="AH144" s="508" t="s">
        <v>985</v>
      </c>
      <c r="AI144" s="508"/>
      <c r="AJ144" s="530" t="s">
        <v>985</v>
      </c>
      <c r="AK144" s="530"/>
      <c r="AL144" s="531" t="s">
        <v>985</v>
      </c>
      <c r="AM144" s="508" t="s">
        <v>978</v>
      </c>
      <c r="AN144" s="508" t="s">
        <v>992</v>
      </c>
      <c r="AO144" s="508"/>
      <c r="AP144" s="508" t="s">
        <v>8</v>
      </c>
      <c r="AQ144" s="508"/>
      <c r="AS144" s="71">
        <v>1520</v>
      </c>
      <c r="AT144" s="72"/>
      <c r="AU144" s="405">
        <v>5</v>
      </c>
      <c r="AV144" s="405" t="s">
        <v>1826</v>
      </c>
      <c r="AW144" s="405">
        <f>VLOOKUP(Таблица7[[#This Row],[Основное оружие]], Оружие[#All], 2, 0)</f>
        <v>0</v>
      </c>
      <c r="AX144" s="405">
        <f>IF(ISBLANK(Таблица7[[#This Row],[Дополнительное оружие]]),"", VLOOKUP(Таблица7[[#This Row],[Дополнительное оружие]], Оружие[#All], 2, 0))</f>
        <v>4</v>
      </c>
      <c r="AY14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4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4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144" s="405">
        <f>VLOOKUP(Таблица7[[#This Row],[Основное оружие]], Оружие[#All], 3, 0)</f>
        <v>1</v>
      </c>
      <c r="BC144" s="405">
        <f>IF(ISBLANK(Таблица7[[#This Row],[Дополнительное оружие]]),"", VLOOKUP(Таблица7[[#This Row],[Дополнительное оружие]], Оружие[#All], 3, 0))</f>
        <v>3</v>
      </c>
      <c r="BD14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4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4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14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44" s="405">
        <f>Таблица7[[#This Row],[Броня]]+Таблица7[[#This Row],[Щит]]+Таблица7[[#This Row],[навык защиты]]</f>
        <v>5</v>
      </c>
      <c r="BK144" s="1006"/>
      <c r="BL144" s="1006"/>
      <c r="BM144" s="381"/>
      <c r="BN144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44" s="381">
        <v>1</v>
      </c>
      <c r="BP144" s="381">
        <v>-2</v>
      </c>
      <c r="BQ144" s="381">
        <v>0</v>
      </c>
      <c r="BR144" s="381">
        <v>-4</v>
      </c>
      <c r="BS144" s="381">
        <v>-2</v>
      </c>
      <c r="BT144" s="381">
        <v>6</v>
      </c>
      <c r="BU144" s="977" t="s">
        <v>1576</v>
      </c>
      <c r="BV144" s="977" t="s">
        <v>1842</v>
      </c>
      <c r="BW144" s="381"/>
      <c r="BX144" s="381"/>
      <c r="BY144" s="381"/>
      <c r="BZ144" s="73"/>
    </row>
    <row r="145" spans="1:78" s="71" customFormat="1" ht="40.5" customHeight="1" x14ac:dyDescent="0.25">
      <c r="A145" s="333">
        <v>144</v>
      </c>
      <c r="B145" s="508" t="s">
        <v>1640</v>
      </c>
      <c r="C145" s="508"/>
      <c r="D145" s="508" t="s">
        <v>1555</v>
      </c>
      <c r="E145" s="71" t="s">
        <v>1570</v>
      </c>
      <c r="I145" s="649">
        <v>0.9</v>
      </c>
      <c r="J145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45" s="597">
        <f>Таблица7[[#This Row],[Размер отряда минимум]]*1.25</f>
        <v>45</v>
      </c>
      <c r="L145" s="597">
        <f>Таблица7[[#This Row],[Размер отряда норма]]*1.5</f>
        <v>67.5</v>
      </c>
      <c r="M145" s="598">
        <f>Таблица7[[#This Row],[Размер отряда минимум]]*2.5</f>
        <v>90</v>
      </c>
      <c r="N145" s="598"/>
      <c r="O145" s="598"/>
      <c r="P145" s="598"/>
      <c r="Q145" s="598"/>
      <c r="R145" s="71" t="s">
        <v>8</v>
      </c>
      <c r="S145" s="956" t="s">
        <v>2881</v>
      </c>
      <c r="T145" s="508" t="s">
        <v>1032</v>
      </c>
      <c r="U145" s="530" t="s">
        <v>1190</v>
      </c>
      <c r="V145" s="759"/>
      <c r="W145" s="530" t="s">
        <v>984</v>
      </c>
      <c r="X145" s="508" t="s">
        <v>1470</v>
      </c>
      <c r="Y145" s="508"/>
      <c r="Z145" s="508" t="s">
        <v>1441</v>
      </c>
      <c r="AA145" s="508"/>
      <c r="AD145" s="530" t="s">
        <v>985</v>
      </c>
      <c r="AE145" s="530"/>
      <c r="AF145" s="508"/>
      <c r="AG145" s="508"/>
      <c r="AH145" s="508" t="s">
        <v>985</v>
      </c>
      <c r="AI145" s="508"/>
      <c r="AJ145" s="530" t="s">
        <v>985</v>
      </c>
      <c r="AK145" s="530"/>
      <c r="AL145" s="531" t="s">
        <v>985</v>
      </c>
      <c r="AM145" s="508" t="s">
        <v>978</v>
      </c>
      <c r="AN145" s="508" t="s">
        <v>992</v>
      </c>
      <c r="AO145" s="508"/>
      <c r="AP145" s="508" t="s">
        <v>8</v>
      </c>
      <c r="AQ145" s="508"/>
      <c r="AS145" s="71">
        <v>1500</v>
      </c>
      <c r="AT145" s="72"/>
      <c r="AU145" s="405">
        <v>6</v>
      </c>
      <c r="AV145" s="405" t="s">
        <v>1827</v>
      </c>
      <c r="AW145" s="405">
        <f>VLOOKUP(Таблица7[[#This Row],[Основное оружие]], Оружие[#All], 2, 0)</f>
        <v>0</v>
      </c>
      <c r="AX145" s="405">
        <f>IF(ISBLANK(Таблица7[[#This Row],[Дополнительное оружие]]),"", VLOOKUP(Таблица7[[#This Row],[Дополнительное оружие]], Оружие[#All], 2, 0))</f>
        <v>4</v>
      </c>
      <c r="AY14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4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4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45" s="405">
        <f>VLOOKUP(Таблица7[[#This Row],[Основное оружие]], Оружие[#All], 3, 0)</f>
        <v>1</v>
      </c>
      <c r="BC145" s="405">
        <f>IF(ISBLANK(Таблица7[[#This Row],[Дополнительное оружие]]),"", VLOOKUP(Таблица7[[#This Row],[Дополнительное оружие]], Оружие[#All], 3, 0))</f>
        <v>3</v>
      </c>
      <c r="BD14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45" s="405" t="e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#N/A</v>
      </c>
      <c r="BF14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4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45" s="405">
        <f>Таблица7[[#This Row],[Броня]]+Таблица7[[#This Row],[Щит]]+Таблица7[[#This Row],[навык защиты]]</f>
        <v>6</v>
      </c>
      <c r="BK145" s="1006"/>
      <c r="BL145" s="1006"/>
      <c r="BM145" s="381"/>
      <c r="BN145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45" s="381">
        <v>1</v>
      </c>
      <c r="BP145" s="381">
        <v>-2</v>
      </c>
      <c r="BQ145" s="381">
        <v>0</v>
      </c>
      <c r="BR145" s="381">
        <v>-4</v>
      </c>
      <c r="BS145" s="381">
        <v>-2</v>
      </c>
      <c r="BT145" s="381">
        <v>6</v>
      </c>
      <c r="BU145" s="977" t="s">
        <v>1576</v>
      </c>
      <c r="BV145" s="977" t="s">
        <v>1842</v>
      </c>
      <c r="BW145" s="381"/>
      <c r="BX145" s="381"/>
      <c r="BY145" s="381"/>
      <c r="BZ145" s="73"/>
    </row>
    <row r="146" spans="1:78" s="71" customFormat="1" ht="40.5" customHeight="1" x14ac:dyDescent="0.25">
      <c r="A146" s="333">
        <v>145</v>
      </c>
      <c r="B146" s="508" t="s">
        <v>1642</v>
      </c>
      <c r="C146" s="508"/>
      <c r="D146" s="508" t="s">
        <v>1555</v>
      </c>
      <c r="E146" s="71" t="s">
        <v>1570</v>
      </c>
      <c r="I146" s="649">
        <v>0.9</v>
      </c>
      <c r="J146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46" s="597">
        <f>Таблица7[[#This Row],[Размер отряда минимум]]*1.25</f>
        <v>45</v>
      </c>
      <c r="L146" s="597">
        <f>Таблица7[[#This Row],[Размер отряда норма]]*1.5</f>
        <v>67.5</v>
      </c>
      <c r="M146" s="598">
        <f>Таблица7[[#This Row],[Размер отряда минимум]]*2.5</f>
        <v>90</v>
      </c>
      <c r="N146" s="598"/>
      <c r="O146" s="598"/>
      <c r="P146" s="598"/>
      <c r="Q146" s="598"/>
      <c r="R146" s="71" t="s">
        <v>8</v>
      </c>
      <c r="S146" s="956" t="s">
        <v>2881</v>
      </c>
      <c r="T146" s="508" t="s">
        <v>1032</v>
      </c>
      <c r="U146" s="530" t="s">
        <v>1190</v>
      </c>
      <c r="V146" s="759"/>
      <c r="W146" s="530" t="s">
        <v>984</v>
      </c>
      <c r="X146" s="508" t="s">
        <v>1688</v>
      </c>
      <c r="Y146" s="508"/>
      <c r="Z146" s="508" t="s">
        <v>1514</v>
      </c>
      <c r="AA146" s="508"/>
      <c r="AB146" s="71" t="s">
        <v>1503</v>
      </c>
      <c r="AD146" s="530" t="s">
        <v>985</v>
      </c>
      <c r="AE146" s="530"/>
      <c r="AF146" s="508" t="s">
        <v>985</v>
      </c>
      <c r="AG146" s="508"/>
      <c r="AH146" s="508" t="s">
        <v>985</v>
      </c>
      <c r="AI146" s="508"/>
      <c r="AJ146" s="530" t="s">
        <v>985</v>
      </c>
      <c r="AK146" s="530"/>
      <c r="AL146" s="531" t="s">
        <v>985</v>
      </c>
      <c r="AM146" s="508" t="s">
        <v>977</v>
      </c>
      <c r="AN146" s="508" t="s">
        <v>992</v>
      </c>
      <c r="AO146" s="508"/>
      <c r="AP146" s="508" t="s">
        <v>8</v>
      </c>
      <c r="AQ146" s="508"/>
      <c r="AS146" s="71">
        <v>1500</v>
      </c>
      <c r="AT146" s="72"/>
      <c r="AU146" s="405">
        <v>6</v>
      </c>
      <c r="AV146" s="405" t="s">
        <v>1827</v>
      </c>
      <c r="AW146" s="405">
        <f>VLOOKUP(Таблица7[[#This Row],[Основное оружие]], Оружие[#All], 2, 0)</f>
        <v>0</v>
      </c>
      <c r="AX146" s="405">
        <f>IF(ISBLANK(Таблица7[[#This Row],[Дополнительное оружие]]),"", VLOOKUP(Таблица7[[#This Row],[Дополнительное оружие]], Оружие[#All], 2, 0))</f>
        <v>4</v>
      </c>
      <c r="AY14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4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4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46" s="405">
        <f>VLOOKUP(Таблица7[[#This Row],[Основное оружие]], Оружие[#All], 3, 0)</f>
        <v>1</v>
      </c>
      <c r="BC146" s="405">
        <f>IF(ISBLANK(Таблица7[[#This Row],[Дополнительное оружие]]),"", VLOOKUP(Таблица7[[#This Row],[Дополнительное оружие]], Оружие[#All], 3, 0))</f>
        <v>6</v>
      </c>
      <c r="BD14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4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4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4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0)+2</f>
        <v>0</v>
      </c>
      <c r="BJ146" s="405">
        <f>Таблица7[[#This Row],[Броня]]+Таблица7[[#This Row],[Щит]]+Таблица7[[#This Row],[навык защиты]]</f>
        <v>6</v>
      </c>
      <c r="BK146" s="1010" t="s">
        <v>1671</v>
      </c>
      <c r="BL146" s="1006"/>
      <c r="BM146" s="381"/>
      <c r="BN146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46" s="381">
        <v>1</v>
      </c>
      <c r="BP146" s="381">
        <v>-2</v>
      </c>
      <c r="BQ146" s="381">
        <v>0</v>
      </c>
      <c r="BR146" s="381">
        <v>-4</v>
      </c>
      <c r="BS146" s="381">
        <v>-2</v>
      </c>
      <c r="BT146" s="381">
        <v>8</v>
      </c>
      <c r="BU146" s="977" t="s">
        <v>1576</v>
      </c>
      <c r="BV146" s="977" t="s">
        <v>1843</v>
      </c>
      <c r="BW146" s="381"/>
      <c r="BX146" s="381"/>
      <c r="BY146" s="381"/>
      <c r="BZ146" s="73"/>
    </row>
    <row r="147" spans="1:78" s="71" customFormat="1" ht="40.5" customHeight="1" x14ac:dyDescent="0.25">
      <c r="A147" s="333">
        <v>146</v>
      </c>
      <c r="B147" s="508" t="s">
        <v>1643</v>
      </c>
      <c r="C147" s="508"/>
      <c r="D147" s="508" t="s">
        <v>1555</v>
      </c>
      <c r="E147" s="508" t="s">
        <v>1448</v>
      </c>
      <c r="F147" s="508"/>
      <c r="G147" s="508"/>
      <c r="H147" s="508"/>
      <c r="I147" s="649">
        <v>0.9</v>
      </c>
      <c r="J147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28.8</v>
      </c>
      <c r="K147" s="597">
        <f>Таблица7[[#This Row],[Размер отряда минимум]]*1.25</f>
        <v>36</v>
      </c>
      <c r="L147" s="597">
        <f>Таблица7[[#This Row],[Размер отряда норма]]*1.5</f>
        <v>54</v>
      </c>
      <c r="M147" s="598">
        <f>Таблица7[[#This Row],[Размер отряда минимум]]*2.5</f>
        <v>72</v>
      </c>
      <c r="N147" s="598"/>
      <c r="O147" s="598"/>
      <c r="P147" s="598"/>
      <c r="Q147" s="598"/>
      <c r="R147" s="71" t="s">
        <v>8</v>
      </c>
      <c r="S147" s="956" t="s">
        <v>2881</v>
      </c>
      <c r="T147" s="508" t="s">
        <v>1032</v>
      </c>
      <c r="U147" s="530" t="s">
        <v>1000</v>
      </c>
      <c r="V147" s="759"/>
      <c r="W147" s="530" t="s">
        <v>1001</v>
      </c>
      <c r="X147" s="508" t="s">
        <v>1528</v>
      </c>
      <c r="Y147" s="508"/>
      <c r="Z147" s="508" t="s">
        <v>1441</v>
      </c>
      <c r="AA147" s="508"/>
      <c r="AB147" s="71" t="s">
        <v>1475</v>
      </c>
      <c r="AD147" s="530" t="s">
        <v>1491</v>
      </c>
      <c r="AE147" s="530"/>
      <c r="AF147" s="508" t="s">
        <v>1483</v>
      </c>
      <c r="AG147" s="508"/>
      <c r="AH147" s="508" t="s">
        <v>985</v>
      </c>
      <c r="AI147" s="508"/>
      <c r="AJ147" s="530" t="s">
        <v>985</v>
      </c>
      <c r="AK147" s="530"/>
      <c r="AL147" s="531" t="s">
        <v>985</v>
      </c>
      <c r="AM147" s="508" t="s">
        <v>977</v>
      </c>
      <c r="AN147" s="508" t="s">
        <v>992</v>
      </c>
      <c r="AO147" s="508"/>
      <c r="AP147" s="508" t="s">
        <v>8</v>
      </c>
      <c r="AQ147" s="508"/>
      <c r="AS147" s="71">
        <v>1500</v>
      </c>
      <c r="AT147" s="72"/>
      <c r="AU147" s="405">
        <v>8</v>
      </c>
      <c r="AV147" s="405"/>
      <c r="AW147" s="405">
        <f>VLOOKUP(Таблица7[[#This Row],[Основное оружие]], Оружие[#All], 2, 0)</f>
        <v>2</v>
      </c>
      <c r="AX147" s="405">
        <f>IF(ISBLANK(Таблица7[[#This Row],[Дополнительное оружие]]),"", VLOOKUP(Таблица7[[#This Row],[Дополнительное оружие]], Оружие[#All], 2, 0))</f>
        <v>4</v>
      </c>
      <c r="AY14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4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14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47" s="405">
        <f>VLOOKUP(Таблица7[[#This Row],[Основное оружие]], Оружие[#All], 3, 0)</f>
        <v>6</v>
      </c>
      <c r="BC147" s="405">
        <f>IF(ISBLANK(Таблица7[[#This Row],[Дополнительное оружие]]),"", VLOOKUP(Таблица7[[#This Row],[Дополнительное оружие]], Оружие[#All], 3, 0))</f>
        <v>3</v>
      </c>
      <c r="BD14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7</v>
      </c>
      <c r="BE14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9</v>
      </c>
      <c r="BF14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4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47" s="405">
        <f>Таблица7[[#This Row],[Броня]]+Таблица7[[#This Row],[Щит]]+Таблица7[[#This Row],[навык защиты]]</f>
        <v>16</v>
      </c>
      <c r="BK147" s="1006"/>
      <c r="BL147" s="1006"/>
      <c r="BM147" s="381"/>
      <c r="BN147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47" s="381">
        <v>1</v>
      </c>
      <c r="BP147" s="381">
        <v>-2</v>
      </c>
      <c r="BQ147" s="381">
        <v>0</v>
      </c>
      <c r="BR147" s="381">
        <v>-4</v>
      </c>
      <c r="BS147" s="381">
        <v>-2</v>
      </c>
      <c r="BT147" s="381">
        <v>10</v>
      </c>
      <c r="BU147" s="977" t="s">
        <v>1576</v>
      </c>
      <c r="BV147" s="977" t="s">
        <v>1843</v>
      </c>
      <c r="BW147" s="381"/>
      <c r="BX147" s="381"/>
      <c r="BY147" s="381"/>
      <c r="BZ147" s="73"/>
    </row>
    <row r="148" spans="1:78" s="71" customFormat="1" ht="40.5" customHeight="1" x14ac:dyDescent="0.25">
      <c r="A148" s="333">
        <v>147</v>
      </c>
      <c r="B148" s="508" t="s">
        <v>1641</v>
      </c>
      <c r="C148" s="508"/>
      <c r="D148" s="508" t="s">
        <v>1555</v>
      </c>
      <c r="E148" s="508" t="s">
        <v>1448</v>
      </c>
      <c r="F148" s="508"/>
      <c r="G148" s="508"/>
      <c r="H148" s="508"/>
      <c r="I148" s="649">
        <v>0.9</v>
      </c>
      <c r="J148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28.8</v>
      </c>
      <c r="K148" s="597">
        <f>Таблица7[[#This Row],[Размер отряда минимум]]*1.25</f>
        <v>36</v>
      </c>
      <c r="L148" s="597">
        <f>Таблица7[[#This Row],[Размер отряда норма]]*1.5</f>
        <v>54</v>
      </c>
      <c r="M148" s="598">
        <f>Таблица7[[#This Row],[Размер отряда минимум]]*2.5</f>
        <v>72</v>
      </c>
      <c r="N148" s="598"/>
      <c r="O148" s="598"/>
      <c r="P148" s="598"/>
      <c r="Q148" s="598"/>
      <c r="R148" s="71" t="s">
        <v>8</v>
      </c>
      <c r="S148" s="956" t="s">
        <v>2881</v>
      </c>
      <c r="T148" s="508" t="s">
        <v>1032</v>
      </c>
      <c r="U148" s="530" t="s">
        <v>1123</v>
      </c>
      <c r="V148" s="759"/>
      <c r="W148" s="530" t="s">
        <v>1001</v>
      </c>
      <c r="X148" s="508" t="s">
        <v>1439</v>
      </c>
      <c r="Y148" s="508"/>
      <c r="AB148" s="71" t="s">
        <v>1475</v>
      </c>
      <c r="AD148" s="530" t="s">
        <v>1491</v>
      </c>
      <c r="AE148" s="530"/>
      <c r="AF148" s="508" t="s">
        <v>1483</v>
      </c>
      <c r="AG148" s="508"/>
      <c r="AH148" s="508" t="s">
        <v>985</v>
      </c>
      <c r="AI148" s="508"/>
      <c r="AJ148" s="530" t="s">
        <v>985</v>
      </c>
      <c r="AK148" s="530"/>
      <c r="AL148" s="531" t="s">
        <v>985</v>
      </c>
      <c r="AM148" s="508" t="s">
        <v>977</v>
      </c>
      <c r="AN148" s="508" t="s">
        <v>1167</v>
      </c>
      <c r="AO148" s="508"/>
      <c r="AP148" s="508" t="s">
        <v>8</v>
      </c>
      <c r="AQ148" s="508"/>
      <c r="AS148" s="71">
        <v>1500</v>
      </c>
      <c r="AT148" s="72"/>
      <c r="AU148" s="405">
        <v>8</v>
      </c>
      <c r="AV148" s="405"/>
      <c r="AW148" s="405">
        <f>VLOOKUP(Таблица7[[#This Row],[Основное оружие]], Оружие[#All], 2, 0)</f>
        <v>3</v>
      </c>
      <c r="AX148" s="405" t="str">
        <f>IF(ISBLANK(Таблица7[[#This Row],[Дополнительное оружие]]),"", VLOOKUP(Таблица7[[#This Row],[Дополнительное оружие]], Оружие[#All], 2, 0))</f>
        <v/>
      </c>
      <c r="AY14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4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4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48" s="405">
        <f>VLOOKUP(Таблица7[[#This Row],[Основное оружие]], Оружие[#All], 3, 0)</f>
        <v>3</v>
      </c>
      <c r="BC148" s="405" t="str">
        <f>IF(ISBLANK(Таблица7[[#This Row],[Дополнительное оружие]]),"", VLOOKUP(Таблица7[[#This Row],[Дополнительное оружие]], Оружие[#All], 3, 0))</f>
        <v/>
      </c>
      <c r="BD14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7</v>
      </c>
      <c r="BE14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9</v>
      </c>
      <c r="BF14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4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48" s="405">
        <f>Таблица7[[#This Row],[Броня]]+Таблица7[[#This Row],[Щит]]+Таблица7[[#This Row],[навык защиты]]</f>
        <v>16</v>
      </c>
      <c r="BK148" s="1006"/>
      <c r="BL148" s="1006"/>
      <c r="BM148" s="381"/>
      <c r="BN148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48" s="381">
        <v>2</v>
      </c>
      <c r="BP148" s="381">
        <v>-2</v>
      </c>
      <c r="BQ148" s="381">
        <v>0</v>
      </c>
      <c r="BR148" s="381">
        <v>-4</v>
      </c>
      <c r="BS148" s="381">
        <v>-2</v>
      </c>
      <c r="BT148" s="381">
        <v>10</v>
      </c>
      <c r="BU148" s="977" t="s">
        <v>1576</v>
      </c>
      <c r="BV148" s="977" t="s">
        <v>1843</v>
      </c>
      <c r="BW148" s="381"/>
      <c r="BX148" s="381"/>
      <c r="BY148" s="381"/>
      <c r="BZ148" s="73"/>
    </row>
    <row r="149" spans="1:78" s="71" customFormat="1" ht="40.5" customHeight="1" x14ac:dyDescent="0.25">
      <c r="A149" s="333">
        <v>148</v>
      </c>
      <c r="B149" s="508" t="s">
        <v>1639</v>
      </c>
      <c r="C149" s="508"/>
      <c r="D149" s="508" t="s">
        <v>1555</v>
      </c>
      <c r="E149" s="71" t="s">
        <v>1546</v>
      </c>
      <c r="I149" s="649">
        <v>0.9</v>
      </c>
      <c r="J149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49" s="597">
        <f>Таблица7[[#This Row],[Размер отряда минимум]]*1.25</f>
        <v>45</v>
      </c>
      <c r="L149" s="597">
        <f>Таблица7[[#This Row],[Размер отряда норма]]*1.5</f>
        <v>67.5</v>
      </c>
      <c r="M149" s="598">
        <f>Таблица7[[#This Row],[Размер отряда минимум]]*2.5</f>
        <v>90</v>
      </c>
      <c r="N149" s="598"/>
      <c r="O149" s="598"/>
      <c r="P149" s="598"/>
      <c r="Q149" s="598"/>
      <c r="R149" s="71" t="s">
        <v>8</v>
      </c>
      <c r="S149" s="956" t="s">
        <v>2881</v>
      </c>
      <c r="T149" s="508" t="s">
        <v>1032</v>
      </c>
      <c r="U149" s="530" t="s">
        <v>1088</v>
      </c>
      <c r="V149" s="759"/>
      <c r="W149" s="530" t="s">
        <v>1001</v>
      </c>
      <c r="X149" s="71" t="s">
        <v>1528</v>
      </c>
      <c r="Z149" s="508" t="s">
        <v>1441</v>
      </c>
      <c r="AA149" s="508"/>
      <c r="AB149" s="508" t="s">
        <v>1475</v>
      </c>
      <c r="AC149" s="508"/>
      <c r="AD149" s="530" t="s">
        <v>985</v>
      </c>
      <c r="AE149" s="530"/>
      <c r="AF149" s="508" t="s">
        <v>985</v>
      </c>
      <c r="AG149" s="508"/>
      <c r="AH149" s="508" t="s">
        <v>985</v>
      </c>
      <c r="AI149" s="508"/>
      <c r="AJ149" s="530" t="s">
        <v>985</v>
      </c>
      <c r="AK149" s="530"/>
      <c r="AL149" s="531" t="s">
        <v>985</v>
      </c>
      <c r="AM149" s="508" t="s">
        <v>977</v>
      </c>
      <c r="AN149" s="508" t="s">
        <v>1167</v>
      </c>
      <c r="AO149" s="508"/>
      <c r="AP149" s="508" t="s">
        <v>8</v>
      </c>
      <c r="AQ149" s="508"/>
      <c r="AS149" s="71">
        <v>1500</v>
      </c>
      <c r="AT149" s="72"/>
      <c r="AU149" s="405">
        <v>8</v>
      </c>
      <c r="AV149" s="405"/>
      <c r="AW149" s="405">
        <f>VLOOKUP(Таблица7[[#This Row],[Основное оружие]], Оружие[#All], 2, 0)</f>
        <v>2</v>
      </c>
      <c r="AX149" s="405">
        <f>IF(ISBLANK(Таблица7[[#This Row],[Дополнительное оружие]]),"", VLOOKUP(Таблица7[[#This Row],[Дополнительное оружие]], Оружие[#All], 2, 0))</f>
        <v>4</v>
      </c>
      <c r="AY14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14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14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149" s="405">
        <f>VLOOKUP(Таблица7[[#This Row],[Основное оружие]], Оружие[#All], 3, 0)</f>
        <v>6</v>
      </c>
      <c r="BC149" s="405">
        <f>IF(ISBLANK(Таблица7[[#This Row],[Дополнительное оружие]]),"", VLOOKUP(Таблица7[[#This Row],[Дополнительное оружие]], Оружие[#All], 3, 0))</f>
        <v>3</v>
      </c>
      <c r="BD14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4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4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4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4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4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49" s="405">
        <f>Таблица7[[#This Row],[Броня]]+Таблица7[[#This Row],[Щит]]+Таблица7[[#This Row],[навык защиты]]</f>
        <v>11</v>
      </c>
      <c r="BK149" s="1006"/>
      <c r="BL149" s="1006"/>
      <c r="BM149" s="381"/>
      <c r="BN149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49" s="381">
        <v>2</v>
      </c>
      <c r="BP149" s="381">
        <v>-2</v>
      </c>
      <c r="BQ149" s="381">
        <v>0</v>
      </c>
      <c r="BR149" s="381">
        <v>-4</v>
      </c>
      <c r="BS149" s="381">
        <v>-2</v>
      </c>
      <c r="BT149" s="381">
        <v>11</v>
      </c>
      <c r="BU149" s="977" t="s">
        <v>1576</v>
      </c>
      <c r="BV149" s="977" t="s">
        <v>1843</v>
      </c>
      <c r="BW149" s="381"/>
      <c r="BX149" s="381"/>
      <c r="BY149" s="381"/>
      <c r="BZ149" s="73"/>
    </row>
    <row r="150" spans="1:78" s="71" customFormat="1" ht="40.5" customHeight="1" x14ac:dyDescent="0.25">
      <c r="A150" s="333">
        <v>149</v>
      </c>
      <c r="B150" s="508" t="s">
        <v>1637</v>
      </c>
      <c r="C150" s="508"/>
      <c r="D150" s="508" t="s">
        <v>1555</v>
      </c>
      <c r="E150" s="71" t="s">
        <v>1547</v>
      </c>
      <c r="I150" s="649">
        <v>0.75</v>
      </c>
      <c r="J150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150" s="597">
        <f>Таблица7[[#This Row],[Размер отряда минимум]]*1.25</f>
        <v>18.75</v>
      </c>
      <c r="L150" s="597">
        <f>Таблица7[[#This Row],[Размер отряда норма]]*1.5</f>
        <v>28.125</v>
      </c>
      <c r="M150" s="598">
        <f>Таблица7[[#This Row],[Размер отряда минимум]]*2.5</f>
        <v>37.5</v>
      </c>
      <c r="N150" s="598"/>
      <c r="O150" s="598"/>
      <c r="P150" s="598"/>
      <c r="Q150" s="598"/>
      <c r="R150" s="71" t="s">
        <v>8</v>
      </c>
      <c r="S150" s="956" t="s">
        <v>2881</v>
      </c>
      <c r="T150" s="508" t="s">
        <v>975</v>
      </c>
      <c r="U150" s="530" t="s">
        <v>1082</v>
      </c>
      <c r="V150" s="759"/>
      <c r="W150" s="530" t="s">
        <v>1001</v>
      </c>
      <c r="X150" s="71" t="s">
        <v>1528</v>
      </c>
      <c r="Z150" s="508" t="s">
        <v>1514</v>
      </c>
      <c r="AA150" s="508"/>
      <c r="AD150" s="792" t="s">
        <v>1002</v>
      </c>
      <c r="AE150" s="792"/>
      <c r="AF150" s="508" t="s">
        <v>985</v>
      </c>
      <c r="AG150" s="508"/>
      <c r="AH150" s="508" t="s">
        <v>985</v>
      </c>
      <c r="AI150" s="508"/>
      <c r="AJ150" s="530" t="s">
        <v>1004</v>
      </c>
      <c r="AK150" s="530"/>
      <c r="AL150" s="531" t="s">
        <v>1163</v>
      </c>
      <c r="AM150" s="508" t="s">
        <v>977</v>
      </c>
      <c r="AN150" s="508" t="s">
        <v>1167</v>
      </c>
      <c r="AO150" s="508"/>
      <c r="AP150" s="508" t="s">
        <v>8</v>
      </c>
      <c r="AQ150" s="508"/>
      <c r="AS150" s="71">
        <v>1500</v>
      </c>
      <c r="AT150" s="72">
        <v>1565</v>
      </c>
      <c r="AU150" s="405">
        <v>7</v>
      </c>
      <c r="AV150" s="405"/>
      <c r="AW150" s="405">
        <f>VLOOKUP(Таблица7[[#This Row],[Основное оружие]], Оружие[#All], 2, 0)</f>
        <v>2</v>
      </c>
      <c r="AX150" s="405">
        <f>IF(ISBLANK(Таблица7[[#This Row],[Дополнительное оружие]]),"", VLOOKUP(Таблица7[[#This Row],[Дополнительное оружие]], Оружие[#All], 2, 0))</f>
        <v>4</v>
      </c>
      <c r="AY15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15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15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50" s="405">
        <f>VLOOKUP(Таблица7[[#This Row],[Основное оружие]], Оружие[#All], 3, 0)</f>
        <v>6</v>
      </c>
      <c r="BC150" s="405">
        <f>IF(ISBLANK(Таблица7[[#This Row],[Дополнительное оружие]]),"", VLOOKUP(Таблица7[[#This Row],[Дополнительное оружие]], Оружие[#All], 3, 0))</f>
        <v>6</v>
      </c>
      <c r="BD15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15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5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5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15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15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50" s="405">
        <f>Таблица7[[#This Row],[Броня]]+Таблица7[[#This Row],[Щит]]+Таблица7[[#This Row],[навык защиты]]</f>
        <v>24</v>
      </c>
      <c r="BK150" s="1006"/>
      <c r="BL150" s="1006"/>
      <c r="BM150" s="381"/>
      <c r="BN150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50" s="381">
        <v>2</v>
      </c>
      <c r="BP150" s="381">
        <v>-2</v>
      </c>
      <c r="BQ150" s="381">
        <v>0</v>
      </c>
      <c r="BR150" s="381">
        <v>-4</v>
      </c>
      <c r="BS150" s="381">
        <v>-2</v>
      </c>
      <c r="BT150" s="381">
        <v>9</v>
      </c>
      <c r="BU150" s="977" t="s">
        <v>1576</v>
      </c>
      <c r="BV150" s="977" t="s">
        <v>1844</v>
      </c>
      <c r="BW150" s="381"/>
      <c r="BX150" s="381"/>
      <c r="BY150" s="381"/>
      <c r="BZ150" s="73"/>
    </row>
    <row r="151" spans="1:78" s="71" customFormat="1" ht="40.5" customHeight="1" x14ac:dyDescent="0.25">
      <c r="A151" s="333">
        <v>150</v>
      </c>
      <c r="B151" s="508" t="s">
        <v>1638</v>
      </c>
      <c r="C151" s="508"/>
      <c r="D151" s="508" t="s">
        <v>1555</v>
      </c>
      <c r="E151" s="71" t="s">
        <v>1547</v>
      </c>
      <c r="I151" s="649">
        <v>0.75</v>
      </c>
      <c r="J151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151" s="597">
        <f>Таблица7[[#This Row],[Размер отряда минимум]]*1.25</f>
        <v>22.5</v>
      </c>
      <c r="L151" s="597">
        <f>Таблица7[[#This Row],[Размер отряда норма]]*1.5</f>
        <v>33.75</v>
      </c>
      <c r="M151" s="598">
        <f>Таблица7[[#This Row],[Размер отряда минимум]]*2.5</f>
        <v>45</v>
      </c>
      <c r="N151" s="598"/>
      <c r="O151" s="598"/>
      <c r="P151" s="598"/>
      <c r="Q151" s="598"/>
      <c r="R151" s="71" t="s">
        <v>8</v>
      </c>
      <c r="S151" s="956" t="s">
        <v>2881</v>
      </c>
      <c r="T151" s="508" t="s">
        <v>976</v>
      </c>
      <c r="U151" s="530" t="s">
        <v>1086</v>
      </c>
      <c r="V151" s="759"/>
      <c r="W151" s="530" t="s">
        <v>1001</v>
      </c>
      <c r="X151" s="772" t="s">
        <v>1950</v>
      </c>
      <c r="Y151" s="508"/>
      <c r="Z151" s="508" t="s">
        <v>1440</v>
      </c>
      <c r="AA151" s="508"/>
      <c r="AD151" s="792" t="s">
        <v>1481</v>
      </c>
      <c r="AE151" s="792"/>
      <c r="AF151" s="508" t="s">
        <v>985</v>
      </c>
      <c r="AG151" s="508"/>
      <c r="AH151" s="508" t="s">
        <v>985</v>
      </c>
      <c r="AI151" s="508"/>
      <c r="AJ151" s="530" t="s">
        <v>1005</v>
      </c>
      <c r="AK151" s="530"/>
      <c r="AL151" s="531" t="s">
        <v>985</v>
      </c>
      <c r="AM151" s="508" t="s">
        <v>977</v>
      </c>
      <c r="AN151" s="508" t="s">
        <v>1167</v>
      </c>
      <c r="AO151" s="508"/>
      <c r="AP151" s="508" t="s">
        <v>8</v>
      </c>
      <c r="AQ151" s="508"/>
      <c r="AS151" s="71">
        <v>1565</v>
      </c>
      <c r="AT151" s="72"/>
      <c r="AU151" s="405">
        <v>7</v>
      </c>
      <c r="AV151" s="405" t="s">
        <v>1827</v>
      </c>
      <c r="AW151" s="405">
        <f>VLOOKUP(Таблица7[[#This Row],[Основное оружие]], Оружие[#All], 2, 0)</f>
        <v>0</v>
      </c>
      <c r="AX151" s="405">
        <f>IF(ISBLANK(Таблица7[[#This Row],[Дополнительное оружие]]),"", VLOOKUP(Таблица7[[#This Row],[Дополнительное оружие]], Оружие[#All], 2, 0))</f>
        <v>4</v>
      </c>
      <c r="AY15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15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5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51" s="405">
        <f>VLOOKUP(Таблица7[[#This Row],[Основное оружие]], Оружие[#All], 3, 0)</f>
        <v>1</v>
      </c>
      <c r="BC151" s="405">
        <f>IF(ISBLANK(Таблица7[[#This Row],[Дополнительное оружие]]),"", VLOOKUP(Таблица7[[#This Row],[Дополнительное оружие]], Оружие[#All], 3, 0))</f>
        <v>3</v>
      </c>
      <c r="BD15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15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5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5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15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15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51" s="405">
        <f>Таблица7[[#This Row],[Броня]]+Таблица7[[#This Row],[Щит]]+Таблица7[[#This Row],[навык защиты]]</f>
        <v>21</v>
      </c>
      <c r="BK151" s="1006"/>
      <c r="BL151" s="1006"/>
      <c r="BM151" s="381"/>
      <c r="BN151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51" s="381">
        <v>2</v>
      </c>
      <c r="BP151" s="381">
        <v>-2</v>
      </c>
      <c r="BQ151" s="381">
        <v>0</v>
      </c>
      <c r="BR151" s="381">
        <v>-4</v>
      </c>
      <c r="BS151" s="381">
        <v>-2</v>
      </c>
      <c r="BT151" s="381">
        <v>9</v>
      </c>
      <c r="BU151" s="977" t="s">
        <v>1576</v>
      </c>
      <c r="BV151" s="977" t="s">
        <v>1844</v>
      </c>
      <c r="BW151" s="381"/>
      <c r="BX151" s="381"/>
      <c r="BY151" s="381"/>
      <c r="BZ151" s="73"/>
    </row>
    <row r="152" spans="1:78" s="71" customFormat="1" ht="40.5" customHeight="1" x14ac:dyDescent="0.25">
      <c r="A152" s="333">
        <v>151</v>
      </c>
      <c r="B152" s="508" t="s">
        <v>1636</v>
      </c>
      <c r="C152" s="508"/>
      <c r="D152" s="508" t="s">
        <v>1555</v>
      </c>
      <c r="E152" s="71" t="s">
        <v>1547</v>
      </c>
      <c r="I152" s="649">
        <v>0.5</v>
      </c>
      <c r="J152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152" s="597">
        <f>Таблица7[[#This Row],[Размер отряда минимум]]*1.25</f>
        <v>12.5</v>
      </c>
      <c r="L152" s="597">
        <f>Таблица7[[#This Row],[Размер отряда норма]]*1.5</f>
        <v>18.75</v>
      </c>
      <c r="M152" s="598">
        <f>Таблица7[[#This Row],[Размер отряда минимум]]*2.5</f>
        <v>25</v>
      </c>
      <c r="N152" s="598"/>
      <c r="O152" s="598"/>
      <c r="P152" s="598"/>
      <c r="Q152" s="598"/>
      <c r="R152" s="71" t="s">
        <v>8</v>
      </c>
      <c r="S152" s="956" t="s">
        <v>2881</v>
      </c>
      <c r="T152" s="508" t="s">
        <v>975</v>
      </c>
      <c r="U152" s="698" t="s">
        <v>1834</v>
      </c>
      <c r="V152" s="760"/>
      <c r="W152" s="530" t="s">
        <v>1001</v>
      </c>
      <c r="X152" s="71" t="s">
        <v>1528</v>
      </c>
      <c r="Z152" s="508" t="s">
        <v>1036</v>
      </c>
      <c r="AA152" s="508"/>
      <c r="AD152" s="530" t="s">
        <v>1004</v>
      </c>
      <c r="AE152" s="530"/>
      <c r="AF152" s="508" t="s">
        <v>985</v>
      </c>
      <c r="AG152" s="508"/>
      <c r="AH152" s="508" t="s">
        <v>985</v>
      </c>
      <c r="AI152" s="508"/>
      <c r="AJ152" s="530" t="s">
        <v>985</v>
      </c>
      <c r="AK152" s="530"/>
      <c r="AL152" s="531" t="s">
        <v>1163</v>
      </c>
      <c r="AM152" s="508" t="s">
        <v>935</v>
      </c>
      <c r="AN152" s="508" t="s">
        <v>952</v>
      </c>
      <c r="AO152" s="508"/>
      <c r="AP152" s="508" t="s">
        <v>8</v>
      </c>
      <c r="AQ152" s="508"/>
      <c r="AS152" s="71">
        <v>1500</v>
      </c>
      <c r="AT152" s="72">
        <v>1565</v>
      </c>
      <c r="AU152" s="405">
        <v>10</v>
      </c>
      <c r="AV152" s="405"/>
      <c r="AW152" s="405">
        <f>VLOOKUP(Таблица7[[#This Row],[Основное оружие]], Оружие[#All], 2, 0)</f>
        <v>2</v>
      </c>
      <c r="AX152" s="405">
        <f>IF(ISBLANK(Таблица7[[#This Row],[Дополнительное оружие]]),"", VLOOKUP(Таблица7[[#This Row],[Дополнительное оружие]], Оружие[#All], 2, 0))</f>
        <v>5</v>
      </c>
      <c r="AY15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5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5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152" s="405">
        <f>VLOOKUP(Таблица7[[#This Row],[Основное оружие]], Оружие[#All], 3, 0)</f>
        <v>6</v>
      </c>
      <c r="BC152" s="405">
        <f>IF(ISBLANK(Таблица7[[#This Row],[Дополнительное оружие]]),"", VLOOKUP(Таблица7[[#This Row],[Дополнительное оружие]], Оружие[#All], 3, 0))</f>
        <v>3</v>
      </c>
      <c r="BD15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15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5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5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5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5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52" s="405">
        <f>Таблица7[[#This Row],[Броня]]+Таблица7[[#This Row],[Щит]]+Таблица7[[#This Row],[навык защиты]]</f>
        <v>29</v>
      </c>
      <c r="BK152" s="1006"/>
      <c r="BL152" s="1006"/>
      <c r="BM152" s="381"/>
      <c r="BN152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52" s="381">
        <v>2</v>
      </c>
      <c r="BP152" s="381">
        <v>-2</v>
      </c>
      <c r="BQ152" s="381">
        <v>0</v>
      </c>
      <c r="BR152" s="381">
        <v>-4</v>
      </c>
      <c r="BS152" s="381">
        <v>-2</v>
      </c>
      <c r="BT152" s="381">
        <v>11</v>
      </c>
      <c r="BU152" s="977" t="s">
        <v>1840</v>
      </c>
      <c r="BV152" s="977" t="s">
        <v>1844</v>
      </c>
      <c r="BW152" s="381"/>
      <c r="BX152" s="381"/>
      <c r="BY152" s="381"/>
      <c r="BZ152" s="73"/>
    </row>
    <row r="153" spans="1:78" s="71" customFormat="1" ht="40.5" customHeight="1" x14ac:dyDescent="0.25">
      <c r="A153" s="333">
        <v>152</v>
      </c>
      <c r="B153" s="508" t="s">
        <v>1635</v>
      </c>
      <c r="C153" s="508"/>
      <c r="D153" s="508" t="s">
        <v>1555</v>
      </c>
      <c r="E153" s="71" t="s">
        <v>1547</v>
      </c>
      <c r="I153" s="649">
        <v>0.5</v>
      </c>
      <c r="J153" s="59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153" s="597">
        <f>Таблица7[[#This Row],[Размер отряда минимум]]*1.25</f>
        <v>15</v>
      </c>
      <c r="L153" s="597">
        <f>Таблица7[[#This Row],[Размер отряда норма]]*1.5</f>
        <v>22.5</v>
      </c>
      <c r="M153" s="598">
        <f>Таблица7[[#This Row],[Размер отряда минимум]]*2.5</f>
        <v>30</v>
      </c>
      <c r="N153" s="598"/>
      <c r="O153" s="598"/>
      <c r="P153" s="598"/>
      <c r="Q153" s="598"/>
      <c r="R153" s="71" t="s">
        <v>8</v>
      </c>
      <c r="S153" s="956" t="s">
        <v>2881</v>
      </c>
      <c r="T153" s="508" t="s">
        <v>976</v>
      </c>
      <c r="U153" s="698" t="s">
        <v>1835</v>
      </c>
      <c r="V153" s="760"/>
      <c r="W153" s="530" t="s">
        <v>1001</v>
      </c>
      <c r="X153" s="772" t="s">
        <v>1950</v>
      </c>
      <c r="Y153" s="508"/>
      <c r="Z153" s="508" t="s">
        <v>1440</v>
      </c>
      <c r="AA153" s="508"/>
      <c r="AD153" s="530" t="s">
        <v>1005</v>
      </c>
      <c r="AE153" s="530"/>
      <c r="AF153" s="508" t="s">
        <v>985</v>
      </c>
      <c r="AG153" s="508"/>
      <c r="AH153" s="508" t="s">
        <v>985</v>
      </c>
      <c r="AI153" s="508"/>
      <c r="AJ153" s="530" t="s">
        <v>985</v>
      </c>
      <c r="AK153" s="530"/>
      <c r="AL153" s="531" t="s">
        <v>985</v>
      </c>
      <c r="AM153" s="508" t="s">
        <v>935</v>
      </c>
      <c r="AN153" s="508" t="s">
        <v>952</v>
      </c>
      <c r="AO153" s="508"/>
      <c r="AP153" s="508" t="s">
        <v>8</v>
      </c>
      <c r="AQ153" s="508"/>
      <c r="AS153" s="71">
        <v>1565</v>
      </c>
      <c r="AT153" s="72"/>
      <c r="AU153" s="405">
        <v>10</v>
      </c>
      <c r="AV153" s="405" t="s">
        <v>1828</v>
      </c>
      <c r="AW153" s="405">
        <f>VLOOKUP(Таблица7[[#This Row],[Основное оружие]], Оружие[#All], 2, 0)</f>
        <v>0</v>
      </c>
      <c r="AX153" s="405">
        <f>IF(ISBLANK(Таблица7[[#This Row],[Дополнительное оружие]]),"", VLOOKUP(Таблица7[[#This Row],[Дополнительное оружие]], Оружие[#All], 2, 0))</f>
        <v>4</v>
      </c>
      <c r="AY15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5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5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53" s="405">
        <f>VLOOKUP(Таблица7[[#This Row],[Основное оружие]], Оружие[#All], 3, 0)</f>
        <v>1</v>
      </c>
      <c r="BC153" s="405">
        <f>IF(ISBLANK(Таблица7[[#This Row],[Дополнительное оружие]]),"", VLOOKUP(Таблица7[[#This Row],[Дополнительное оружие]], Оружие[#All], 3, 0))</f>
        <v>3</v>
      </c>
      <c r="BD15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15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5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5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5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5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53" s="405">
        <f>Таблица7[[#This Row],[Броня]]+Таблица7[[#This Row],[Щит]]+Таблица7[[#This Row],[навык защиты]]</f>
        <v>28</v>
      </c>
      <c r="BK153" s="1006"/>
      <c r="BL153" s="1006"/>
      <c r="BM153" s="381"/>
      <c r="BN153" s="97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53" s="381">
        <v>2</v>
      </c>
      <c r="BP153" s="381">
        <v>-2</v>
      </c>
      <c r="BQ153" s="381">
        <v>0</v>
      </c>
      <c r="BR153" s="381">
        <v>-4</v>
      </c>
      <c r="BS153" s="381">
        <v>-2</v>
      </c>
      <c r="BT153" s="381">
        <v>11</v>
      </c>
      <c r="BU153" s="977" t="s">
        <v>1840</v>
      </c>
      <c r="BV153" s="977" t="s">
        <v>1844</v>
      </c>
      <c r="BW153" s="381"/>
      <c r="BX153" s="381"/>
      <c r="BY153" s="381"/>
      <c r="BZ153" s="73"/>
    </row>
    <row r="154" spans="1:78" s="75" customFormat="1" ht="40.5" customHeight="1" x14ac:dyDescent="0.25">
      <c r="A154" s="333">
        <v>153</v>
      </c>
      <c r="B154" s="283" t="s">
        <v>1279</v>
      </c>
      <c r="C154" s="283"/>
      <c r="D154" s="283" t="s">
        <v>1556</v>
      </c>
      <c r="E154" s="283" t="s">
        <v>1570</v>
      </c>
      <c r="F154" s="283"/>
      <c r="G154" s="283"/>
      <c r="H154" s="283"/>
      <c r="I154" s="650">
        <v>1</v>
      </c>
      <c r="J154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154" s="599">
        <f>Таблица7[[#This Row],[Размер отряда минимум]]*1.25</f>
        <v>112.5</v>
      </c>
      <c r="L154" s="599">
        <f>Таблица7[[#This Row],[Размер отряда норма]]*1.5</f>
        <v>168.75</v>
      </c>
      <c r="M154" s="600">
        <f>Таблица7[[#This Row],[Размер отряда минимум]]*2.5</f>
        <v>225</v>
      </c>
      <c r="N154" s="600"/>
      <c r="O154" s="600"/>
      <c r="P154" s="600"/>
      <c r="Q154" s="600"/>
      <c r="R154" s="75" t="s">
        <v>9</v>
      </c>
      <c r="S154" s="957" t="s">
        <v>2882</v>
      </c>
      <c r="T154" s="283" t="s">
        <v>975</v>
      </c>
      <c r="U154" s="176" t="s">
        <v>1209</v>
      </c>
      <c r="V154" s="76"/>
      <c r="W154" s="283" t="s">
        <v>984</v>
      </c>
      <c r="X154" s="283" t="s">
        <v>1467</v>
      </c>
      <c r="Y154" s="283"/>
      <c r="Z154" s="283" t="s">
        <v>1020</v>
      </c>
      <c r="AA154" s="283"/>
      <c r="AB154" s="283"/>
      <c r="AC154" s="283"/>
      <c r="AD154" s="284" t="s">
        <v>985</v>
      </c>
      <c r="AE154" s="284"/>
      <c r="AF154" s="283" t="s">
        <v>985</v>
      </c>
      <c r="AG154" s="283"/>
      <c r="AH154" s="283" t="s">
        <v>985</v>
      </c>
      <c r="AI154" s="283"/>
      <c r="AJ154" s="284" t="s">
        <v>985</v>
      </c>
      <c r="AK154" s="284"/>
      <c r="AL154" s="285" t="s">
        <v>985</v>
      </c>
      <c r="AM154" s="283" t="s">
        <v>935</v>
      </c>
      <c r="AN154" s="283" t="s">
        <v>955</v>
      </c>
      <c r="AO154" s="283"/>
      <c r="AP154" s="75" t="s">
        <v>9</v>
      </c>
      <c r="AS154" s="75">
        <v>1500</v>
      </c>
      <c r="AT154" s="76">
        <v>1576</v>
      </c>
      <c r="AU154" s="405">
        <v>1</v>
      </c>
      <c r="AV154" s="405" t="s">
        <v>1826</v>
      </c>
      <c r="AW154" s="405">
        <f>VLOOKUP(Таблица7[[#This Row],[Основное оружие]], Оружие[#All], 2, 0)</f>
        <v>0</v>
      </c>
      <c r="AX154" s="405">
        <f>IF(ISBLANK(Таблица7[[#This Row],[Дополнительное оружие]]),"", VLOOKUP(Таблица7[[#This Row],[Дополнительное оружие]], Оружие[#All], 2, 0))</f>
        <v>2</v>
      </c>
      <c r="AY15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5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5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5</v>
      </c>
      <c r="BB154" s="405">
        <f>VLOOKUP(Таблица7[[#This Row],[Основное оружие]], Оружие[#All], 3, 0)</f>
        <v>1</v>
      </c>
      <c r="BC154" s="405">
        <f>IF(ISBLANK(Таблица7[[#This Row],[Дополнительное оружие]]),"", VLOOKUP(Таблица7[[#This Row],[Дополнительное оружие]], Оружие[#All], 3, 0))</f>
        <v>3</v>
      </c>
      <c r="BD15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5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5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5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5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5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54" s="405">
        <f>Таблица7[[#This Row],[Броня]]+Таблица7[[#This Row],[Щит]]+Таблица7[[#This Row],[навык защиты]]</f>
        <v>3</v>
      </c>
      <c r="BK154" s="1006"/>
      <c r="BL154" s="1006"/>
      <c r="BM154" s="382"/>
      <c r="BN154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54" s="382">
        <v>2</v>
      </c>
      <c r="BP154" s="382">
        <v>1</v>
      </c>
      <c r="BQ154" s="382">
        <v>-1</v>
      </c>
      <c r="BR154" s="382">
        <v>2</v>
      </c>
      <c r="BS154" s="382">
        <v>1</v>
      </c>
      <c r="BT154" s="382">
        <v>2</v>
      </c>
      <c r="BU154" s="978" t="s">
        <v>1839</v>
      </c>
      <c r="BV154" s="978" t="s">
        <v>1842</v>
      </c>
      <c r="BW154" s="382"/>
      <c r="BX154" s="382"/>
      <c r="BY154" s="382"/>
      <c r="BZ154" s="77"/>
    </row>
    <row r="155" spans="1:78" s="75" customFormat="1" ht="40.5" customHeight="1" x14ac:dyDescent="0.25">
      <c r="A155" s="333">
        <v>154</v>
      </c>
      <c r="B155" s="283" t="s">
        <v>1280</v>
      </c>
      <c r="C155" s="283"/>
      <c r="D155" s="283" t="s">
        <v>1556</v>
      </c>
      <c r="E155" s="283" t="s">
        <v>1570</v>
      </c>
      <c r="F155" s="283"/>
      <c r="G155" s="283"/>
      <c r="H155" s="283"/>
      <c r="I155" s="650">
        <v>1</v>
      </c>
      <c r="J155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155" s="599">
        <f>Таблица7[[#This Row],[Размер отряда минимум]]*1.25</f>
        <v>125</v>
      </c>
      <c r="L155" s="599">
        <f>Таблица7[[#This Row],[Размер отряда норма]]*1.5</f>
        <v>187.5</v>
      </c>
      <c r="M155" s="600">
        <f>Таблица7[[#This Row],[Размер отряда минимум]]*2.5</f>
        <v>250</v>
      </c>
      <c r="N155" s="600"/>
      <c r="O155" s="600"/>
      <c r="P155" s="600"/>
      <c r="Q155" s="600"/>
      <c r="R155" s="75" t="s">
        <v>9</v>
      </c>
      <c r="S155" s="957" t="s">
        <v>2882</v>
      </c>
      <c r="T155" s="283" t="s">
        <v>976</v>
      </c>
      <c r="U155" s="284" t="s">
        <v>1176</v>
      </c>
      <c r="V155" s="286"/>
      <c r="W155" s="283" t="s">
        <v>984</v>
      </c>
      <c r="X155" s="283" t="s">
        <v>1469</v>
      </c>
      <c r="Y155" s="283"/>
      <c r="Z155" s="283" t="s">
        <v>1441</v>
      </c>
      <c r="AA155" s="283"/>
      <c r="AB155" s="283"/>
      <c r="AC155" s="283"/>
      <c r="AD155" s="284" t="s">
        <v>985</v>
      </c>
      <c r="AE155" s="284"/>
      <c r="AF155" s="283" t="s">
        <v>985</v>
      </c>
      <c r="AG155" s="283"/>
      <c r="AH155" s="283" t="s">
        <v>985</v>
      </c>
      <c r="AI155" s="283"/>
      <c r="AJ155" s="284" t="s">
        <v>985</v>
      </c>
      <c r="AK155" s="284"/>
      <c r="AL155" s="285" t="s">
        <v>985</v>
      </c>
      <c r="AM155" s="283" t="s">
        <v>935</v>
      </c>
      <c r="AN155" s="283" t="s">
        <v>955</v>
      </c>
      <c r="AO155" s="283"/>
      <c r="AP155" s="75" t="s">
        <v>9</v>
      </c>
      <c r="AS155" s="75">
        <v>1576</v>
      </c>
      <c r="AT155" s="76"/>
      <c r="AU155" s="405">
        <v>1</v>
      </c>
      <c r="AV155" s="405" t="s">
        <v>1827</v>
      </c>
      <c r="AW155" s="405">
        <f>VLOOKUP(Таблица7[[#This Row],[Основное оружие]], Оружие[#All], 2, 0)</f>
        <v>0</v>
      </c>
      <c r="AX155" s="405">
        <f>IF(ISBLANK(Таблица7[[#This Row],[Дополнительное оружие]]),"", VLOOKUP(Таблица7[[#This Row],[Дополнительное оружие]], Оружие[#All], 2, 0))</f>
        <v>4</v>
      </c>
      <c r="AY15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5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5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155" s="405">
        <f>VLOOKUP(Таблица7[[#This Row],[Основное оружие]], Оружие[#All], 3, 0)</f>
        <v>1</v>
      </c>
      <c r="BC155" s="405">
        <f>IF(ISBLANK(Таблица7[[#This Row],[Дополнительное оружие]]),"", VLOOKUP(Таблица7[[#This Row],[Дополнительное оружие]], Оружие[#All], 3, 0))</f>
        <v>3</v>
      </c>
      <c r="BD15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5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5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5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5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5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55" s="405">
        <f>Таблица7[[#This Row],[Броня]]+Таблица7[[#This Row],[Щит]]+Таблица7[[#This Row],[навык защиты]]</f>
        <v>3</v>
      </c>
      <c r="BK155" s="1006"/>
      <c r="BL155" s="1006"/>
      <c r="BM155" s="382"/>
      <c r="BN155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55" s="382">
        <v>2</v>
      </c>
      <c r="BP155" s="382">
        <v>1</v>
      </c>
      <c r="BQ155" s="382">
        <v>-1</v>
      </c>
      <c r="BR155" s="382">
        <v>2</v>
      </c>
      <c r="BS155" s="382">
        <v>1</v>
      </c>
      <c r="BT155" s="382">
        <v>2</v>
      </c>
      <c r="BU155" s="978" t="s">
        <v>1839</v>
      </c>
      <c r="BV155" s="978" t="s">
        <v>1842</v>
      </c>
      <c r="BW155" s="382"/>
      <c r="BX155" s="382"/>
      <c r="BY155" s="382"/>
      <c r="BZ155" s="77"/>
    </row>
    <row r="156" spans="1:78" s="75" customFormat="1" ht="40.5" customHeight="1" x14ac:dyDescent="0.25">
      <c r="A156" s="333">
        <v>155</v>
      </c>
      <c r="B156" s="283" t="s">
        <v>1220</v>
      </c>
      <c r="C156" s="283"/>
      <c r="D156" s="283" t="s">
        <v>1556</v>
      </c>
      <c r="E156" s="283" t="s">
        <v>1560</v>
      </c>
      <c r="F156" s="283"/>
      <c r="G156" s="283"/>
      <c r="H156" s="283"/>
      <c r="I156" s="650">
        <v>0.75</v>
      </c>
      <c r="J156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56" s="599">
        <f>Таблица7[[#This Row],[Размер отряда минимум]]*1.25</f>
        <v>84.375</v>
      </c>
      <c r="L156" s="599">
        <f>Таблица7[[#This Row],[Размер отряда норма]]*1.5</f>
        <v>126.5625</v>
      </c>
      <c r="M156" s="600">
        <f>Таблица7[[#This Row],[Размер отряда минимум]]*2.5</f>
        <v>168.75</v>
      </c>
      <c r="N156" s="600"/>
      <c r="O156" s="600"/>
      <c r="P156" s="600"/>
      <c r="Q156" s="600"/>
      <c r="R156" s="283" t="s">
        <v>1231</v>
      </c>
      <c r="S156" s="957" t="s">
        <v>2882</v>
      </c>
      <c r="T156" s="283" t="s">
        <v>975</v>
      </c>
      <c r="U156" s="735" t="s">
        <v>1667</v>
      </c>
      <c r="V156" s="547"/>
      <c r="W156" s="284" t="s">
        <v>1001</v>
      </c>
      <c r="X156" s="283" t="s">
        <v>1059</v>
      </c>
      <c r="Y156" s="283"/>
      <c r="Z156" s="283"/>
      <c r="AA156" s="283"/>
      <c r="AB156" s="411" t="s">
        <v>1453</v>
      </c>
      <c r="AC156" s="411"/>
      <c r="AD156" s="284" t="s">
        <v>985</v>
      </c>
      <c r="AE156" s="284"/>
      <c r="AF156" s="283" t="s">
        <v>1551</v>
      </c>
      <c r="AG156" s="283"/>
      <c r="AH156" s="362" t="s">
        <v>1485</v>
      </c>
      <c r="AI156" s="362"/>
      <c r="AJ156" s="284" t="s">
        <v>985</v>
      </c>
      <c r="AK156" s="284"/>
      <c r="AL156" s="285" t="s">
        <v>985</v>
      </c>
      <c r="AM156" s="283" t="s">
        <v>978</v>
      </c>
      <c r="AN156" s="283" t="s">
        <v>1023</v>
      </c>
      <c r="AO156" s="283"/>
      <c r="AP156" s="283" t="s">
        <v>1231</v>
      </c>
      <c r="AQ156" s="283"/>
      <c r="AS156" s="75">
        <v>1500</v>
      </c>
      <c r="AT156" s="76">
        <v>1576</v>
      </c>
      <c r="AU156" s="405">
        <v>2</v>
      </c>
      <c r="AV156" s="405"/>
      <c r="AW156" s="405">
        <f>VLOOKUP(Таблица7[[#This Row],[Основное оружие]], Оружие[#All], 2, 0)</f>
        <v>2</v>
      </c>
      <c r="AX156" s="405" t="str">
        <f>IF(ISBLANK(Таблица7[[#This Row],[Дополнительное оружие]]),"", VLOOKUP(Таблица7[[#This Row],[Дополнительное оружие]], Оружие[#All], 2, 0))</f>
        <v/>
      </c>
      <c r="AY15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5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15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56" s="405">
        <f>VLOOKUP(Таблица7[[#This Row],[Основное оружие]], Оружие[#All], 3, 0)</f>
        <v>3</v>
      </c>
      <c r="BC156" s="405" t="str">
        <f>IF(ISBLANK(Таблица7[[#This Row],[Дополнительное оружие]]),"", VLOOKUP(Таблица7[[#This Row],[Дополнительное оружие]], Оружие[#All], 3, 0))</f>
        <v/>
      </c>
      <c r="BD15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56" s="405" t="e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#N/A</v>
      </c>
      <c r="BF156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7</v>
      </c>
      <c r="BG15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5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5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9</v>
      </c>
      <c r="BJ156" s="405">
        <f>Таблица7[[#This Row],[Броня]]+Таблица7[[#This Row],[Щит]]+Таблица7[[#This Row],[навык защиты]]</f>
        <v>13</v>
      </c>
      <c r="BK156" s="1006"/>
      <c r="BL156" s="1006"/>
      <c r="BM156" s="382"/>
      <c r="BN156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56" s="382">
        <v>2</v>
      </c>
      <c r="BP156" s="382">
        <v>0</v>
      </c>
      <c r="BQ156" s="382">
        <v>-1</v>
      </c>
      <c r="BR156" s="382">
        <v>-1</v>
      </c>
      <c r="BS156" s="382">
        <v>1</v>
      </c>
      <c r="BT156" s="382">
        <v>7</v>
      </c>
      <c r="BU156" s="978" t="s">
        <v>1576</v>
      </c>
      <c r="BV156" s="978" t="s">
        <v>1843</v>
      </c>
      <c r="BW156" s="382"/>
      <c r="BX156" s="382"/>
      <c r="BY156" s="382"/>
      <c r="BZ156" s="77"/>
    </row>
    <row r="157" spans="1:78" s="75" customFormat="1" ht="40.5" customHeight="1" x14ac:dyDescent="0.25">
      <c r="A157" s="333">
        <v>156</v>
      </c>
      <c r="B157" s="283" t="s">
        <v>1221</v>
      </c>
      <c r="C157" s="283"/>
      <c r="D157" s="283" t="s">
        <v>1556</v>
      </c>
      <c r="E157" s="283" t="s">
        <v>1570</v>
      </c>
      <c r="F157" s="283"/>
      <c r="G157" s="283"/>
      <c r="H157" s="283"/>
      <c r="I157" s="650">
        <v>0.75</v>
      </c>
      <c r="J157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57" s="599">
        <f>Таблица7[[#This Row],[Размер отряда минимум]]*1.25</f>
        <v>84.375</v>
      </c>
      <c r="L157" s="599">
        <f>Таблица7[[#This Row],[Размер отряда норма]]*1.5</f>
        <v>126.5625</v>
      </c>
      <c r="M157" s="600">
        <f>Таблица7[[#This Row],[Размер отряда минимум]]*2.5</f>
        <v>168.75</v>
      </c>
      <c r="N157" s="600"/>
      <c r="O157" s="600"/>
      <c r="P157" s="600"/>
      <c r="Q157" s="600"/>
      <c r="R157" s="283" t="s">
        <v>1231</v>
      </c>
      <c r="S157" s="957" t="s">
        <v>2882</v>
      </c>
      <c r="T157" s="283" t="s">
        <v>975</v>
      </c>
      <c r="U157" s="735" t="s">
        <v>1668</v>
      </c>
      <c r="V157" s="547"/>
      <c r="W157" s="284" t="s">
        <v>1001</v>
      </c>
      <c r="X157" s="283" t="s">
        <v>1467</v>
      </c>
      <c r="Y157" s="283"/>
      <c r="Z157" s="283" t="s">
        <v>1020</v>
      </c>
      <c r="AA157" s="283"/>
      <c r="AB157" s="283" t="s">
        <v>1453</v>
      </c>
      <c r="AC157" s="283"/>
      <c r="AD157" s="284" t="s">
        <v>985</v>
      </c>
      <c r="AE157" s="284"/>
      <c r="AF157" s="283" t="s">
        <v>1551</v>
      </c>
      <c r="AG157" s="283"/>
      <c r="AH157" s="283" t="s">
        <v>1485</v>
      </c>
      <c r="AI157" s="283"/>
      <c r="AJ157" s="284" t="s">
        <v>985</v>
      </c>
      <c r="AK157" s="284"/>
      <c r="AL157" s="285" t="s">
        <v>985</v>
      </c>
      <c r="AM157" s="283" t="s">
        <v>978</v>
      </c>
      <c r="AN157" s="283" t="s">
        <v>1023</v>
      </c>
      <c r="AO157" s="283"/>
      <c r="AP157" s="283" t="s">
        <v>1231</v>
      </c>
      <c r="AQ157" s="283"/>
      <c r="AS157" s="75">
        <v>1500</v>
      </c>
      <c r="AT157" s="76">
        <v>1540</v>
      </c>
      <c r="AU157" s="405">
        <v>2</v>
      </c>
      <c r="AV157" s="405" t="s">
        <v>1827</v>
      </c>
      <c r="AW157" s="405">
        <f>VLOOKUP(Таблица7[[#This Row],[Основное оружие]], Оружие[#All], 2, 0)</f>
        <v>0</v>
      </c>
      <c r="AX157" s="405">
        <f>IF(ISBLANK(Таблица7[[#This Row],[Дополнительное оружие]]),"", VLOOKUP(Таблица7[[#This Row],[Дополнительное оружие]], Оружие[#All], 2, 0))</f>
        <v>2</v>
      </c>
      <c r="AY15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5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5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6</v>
      </c>
      <c r="BB157" s="405">
        <f>VLOOKUP(Таблица7[[#This Row],[Основное оружие]], Оружие[#All], 3, 0)</f>
        <v>1</v>
      </c>
      <c r="BC157" s="405">
        <f>IF(ISBLANK(Таблица7[[#This Row],[Дополнительное оружие]]),"", VLOOKUP(Таблица7[[#This Row],[Дополнительное оружие]], Оружие[#All], 3, 0))</f>
        <v>3</v>
      </c>
      <c r="BD15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57" s="405" t="e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#N/A</v>
      </c>
      <c r="BF157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7</v>
      </c>
      <c r="BG15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5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5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9</v>
      </c>
      <c r="BJ157" s="405">
        <f>Таблица7[[#This Row],[Броня]]+Таблица7[[#This Row],[Щит]]+Таблица7[[#This Row],[навык защиты]]</f>
        <v>13</v>
      </c>
      <c r="BK157" s="1006"/>
      <c r="BL157" s="1006"/>
      <c r="BM157" s="382"/>
      <c r="BN157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57" s="382">
        <v>2</v>
      </c>
      <c r="BP157" s="382">
        <v>1</v>
      </c>
      <c r="BQ157" s="382">
        <v>-1</v>
      </c>
      <c r="BR157" s="382">
        <v>2</v>
      </c>
      <c r="BS157" s="382">
        <v>1</v>
      </c>
      <c r="BT157" s="382">
        <v>6</v>
      </c>
      <c r="BU157" s="978" t="s">
        <v>1576</v>
      </c>
      <c r="BV157" s="978" t="s">
        <v>1843</v>
      </c>
      <c r="BW157" s="382"/>
      <c r="BX157" s="382"/>
      <c r="BY157" s="382"/>
      <c r="BZ157" s="77"/>
    </row>
    <row r="158" spans="1:78" s="75" customFormat="1" ht="40.5" customHeight="1" x14ac:dyDescent="0.25">
      <c r="A158" s="333">
        <v>157</v>
      </c>
      <c r="B158" s="283" t="s">
        <v>1281</v>
      </c>
      <c r="C158" s="283"/>
      <c r="D158" s="283" t="s">
        <v>1556</v>
      </c>
      <c r="E158" s="283" t="s">
        <v>1558</v>
      </c>
      <c r="F158" s="283"/>
      <c r="G158" s="283"/>
      <c r="H158" s="283"/>
      <c r="I158" s="650">
        <v>0.75</v>
      </c>
      <c r="J158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58" s="599">
        <f>Таблица7[[#This Row],[Размер отряда минимум]]*1.25</f>
        <v>84.375</v>
      </c>
      <c r="L158" s="599">
        <f>Таблица7[[#This Row],[Размер отряда норма]]*1.5</f>
        <v>126.5625</v>
      </c>
      <c r="M158" s="600">
        <f>Таблица7[[#This Row],[Размер отряда минимум]]*2.5</f>
        <v>168.75</v>
      </c>
      <c r="N158" s="600"/>
      <c r="O158" s="600"/>
      <c r="P158" s="600"/>
      <c r="Q158" s="600"/>
      <c r="R158" s="75" t="s">
        <v>9</v>
      </c>
      <c r="S158" s="957" t="s">
        <v>2882</v>
      </c>
      <c r="T158" s="283" t="s">
        <v>975</v>
      </c>
      <c r="U158" s="284" t="s">
        <v>1210</v>
      </c>
      <c r="V158" s="286"/>
      <c r="W158" s="283" t="s">
        <v>1001</v>
      </c>
      <c r="X158" s="283" t="s">
        <v>996</v>
      </c>
      <c r="Y158" s="283"/>
      <c r="Z158" s="283"/>
      <c r="AA158" s="283"/>
      <c r="AB158" s="283"/>
      <c r="AC158" s="283"/>
      <c r="AD158" s="284" t="s">
        <v>1027</v>
      </c>
      <c r="AE158" s="284"/>
      <c r="AF158" s="283" t="s">
        <v>1202</v>
      </c>
      <c r="AG158" s="283"/>
      <c r="AH158" s="283" t="s">
        <v>985</v>
      </c>
      <c r="AI158" s="283"/>
      <c r="AJ158" s="284" t="s">
        <v>985</v>
      </c>
      <c r="AK158" s="284"/>
      <c r="AL158" s="285" t="s">
        <v>985</v>
      </c>
      <c r="AM158" s="283" t="s">
        <v>977</v>
      </c>
      <c r="AN158" s="283" t="s">
        <v>997</v>
      </c>
      <c r="AO158" s="283"/>
      <c r="AP158" s="75" t="s">
        <v>9</v>
      </c>
      <c r="AS158" s="75">
        <v>1500</v>
      </c>
      <c r="AT158" s="76">
        <v>1576</v>
      </c>
      <c r="AU158" s="405">
        <v>2</v>
      </c>
      <c r="AV158" s="405"/>
      <c r="AW158" s="405">
        <f>VLOOKUP(Таблица7[[#This Row],[Основное оружие]], Оружие[#All], 2, 0)</f>
        <v>7</v>
      </c>
      <c r="AX158" s="405" t="str">
        <f>IF(ISBLANK(Таблица7[[#This Row],[Дополнительное оружие]]),"", VLOOKUP(Таблица7[[#This Row],[Дополнительное оружие]], Оружие[#All], 2, 0))</f>
        <v/>
      </c>
      <c r="AY15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5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15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58" s="405">
        <f>VLOOKUP(Таблица7[[#This Row],[Основное оружие]], Оружие[#All], 3, 0)</f>
        <v>3</v>
      </c>
      <c r="BC158" s="405" t="str">
        <f>IF(ISBLANK(Таблица7[[#This Row],[Дополнительное оружие]]),"", VLOOKUP(Таблица7[[#This Row],[Дополнительное оружие]], Оружие[#All], 3, 0))</f>
        <v/>
      </c>
      <c r="BD15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15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10</v>
      </c>
      <c r="BF15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5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5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5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58" s="405">
        <f>Таблица7[[#This Row],[Броня]]+Таблица7[[#This Row],[Щит]]+Таблица7[[#This Row],[навык защиты]]</f>
        <v>11</v>
      </c>
      <c r="BK158" s="1006"/>
      <c r="BL158" s="1006"/>
      <c r="BM158" s="382"/>
      <c r="BN158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58" s="382">
        <v>2</v>
      </c>
      <c r="BP158" s="382">
        <v>0</v>
      </c>
      <c r="BQ158" s="382">
        <v>-1</v>
      </c>
      <c r="BR158" s="382">
        <v>-1</v>
      </c>
      <c r="BS158" s="382">
        <v>1</v>
      </c>
      <c r="BT158" s="382">
        <v>7</v>
      </c>
      <c r="BU158" s="978" t="s">
        <v>1576</v>
      </c>
      <c r="BV158" s="978" t="s">
        <v>1843</v>
      </c>
      <c r="BW158" s="382"/>
      <c r="BX158" s="382"/>
      <c r="BY158" s="382"/>
      <c r="BZ158" s="77"/>
    </row>
    <row r="159" spans="1:78" s="75" customFormat="1" ht="40.5" customHeight="1" x14ac:dyDescent="0.25">
      <c r="A159" s="333">
        <v>158</v>
      </c>
      <c r="B159" s="283" t="s">
        <v>1282</v>
      </c>
      <c r="C159" s="283"/>
      <c r="D159" s="283" t="s">
        <v>1556</v>
      </c>
      <c r="E159" s="283" t="s">
        <v>1570</v>
      </c>
      <c r="F159" s="283"/>
      <c r="G159" s="283"/>
      <c r="H159" s="283"/>
      <c r="I159" s="650">
        <v>0.75</v>
      </c>
      <c r="J159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159" s="599">
        <f>Таблица7[[#This Row],[Размер отряда минимум]]*1.25</f>
        <v>93.75</v>
      </c>
      <c r="L159" s="599">
        <f>Таблица7[[#This Row],[Размер отряда норма]]*1.5</f>
        <v>140.625</v>
      </c>
      <c r="M159" s="600">
        <f>Таблица7[[#This Row],[Размер отряда минимум]]*2.5</f>
        <v>187.5</v>
      </c>
      <c r="N159" s="600"/>
      <c r="O159" s="600"/>
      <c r="P159" s="600"/>
      <c r="Q159" s="600"/>
      <c r="R159" s="283" t="s">
        <v>1231</v>
      </c>
      <c r="S159" s="957" t="s">
        <v>2882</v>
      </c>
      <c r="T159" s="283" t="s">
        <v>1032</v>
      </c>
      <c r="U159" s="284" t="s">
        <v>1169</v>
      </c>
      <c r="V159" s="286"/>
      <c r="W159" s="283" t="s">
        <v>1001</v>
      </c>
      <c r="X159" s="283" t="s">
        <v>1688</v>
      </c>
      <c r="Y159" s="283"/>
      <c r="Z159" s="283" t="s">
        <v>1020</v>
      </c>
      <c r="AA159" s="283"/>
      <c r="AB159" s="283"/>
      <c r="AC159" s="283"/>
      <c r="AD159" s="284" t="s">
        <v>1027</v>
      </c>
      <c r="AE159" s="284"/>
      <c r="AF159" s="283" t="s">
        <v>1202</v>
      </c>
      <c r="AG159" s="283"/>
      <c r="AH159" s="283" t="s">
        <v>1478</v>
      </c>
      <c r="AI159" s="283"/>
      <c r="AJ159" s="284" t="s">
        <v>985</v>
      </c>
      <c r="AK159" s="284"/>
      <c r="AL159" s="285" t="s">
        <v>985</v>
      </c>
      <c r="AM159" s="283" t="s">
        <v>977</v>
      </c>
      <c r="AN159" s="283" t="s">
        <v>997</v>
      </c>
      <c r="AO159" s="283"/>
      <c r="AP159" s="283" t="s">
        <v>1231</v>
      </c>
      <c r="AQ159" s="283"/>
      <c r="AS159" s="75">
        <v>1500</v>
      </c>
      <c r="AT159" s="76"/>
      <c r="AU159" s="405">
        <v>5</v>
      </c>
      <c r="AV159" s="405" t="s">
        <v>1827</v>
      </c>
      <c r="AW159" s="405">
        <f>VLOOKUP(Таблица7[[#This Row],[Основное оружие]], Оружие[#All], 2, 0)</f>
        <v>0</v>
      </c>
      <c r="AX159" s="405">
        <f>IF(ISBLANK(Таблица7[[#This Row],[Дополнительное оружие]]),"", VLOOKUP(Таблица7[[#This Row],[Дополнительное оружие]], Оружие[#All], 2, 0))</f>
        <v>2</v>
      </c>
      <c r="AY15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5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5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159" s="405">
        <f>VLOOKUP(Таблица7[[#This Row],[Основное оружие]], Оружие[#All], 3, 0)</f>
        <v>1</v>
      </c>
      <c r="BC159" s="405">
        <f>IF(ISBLANK(Таблица7[[#This Row],[Дополнительное оружие]]),"", VLOOKUP(Таблица7[[#This Row],[Дополнительное оружие]], Оружие[#All], 3, 0))</f>
        <v>3</v>
      </c>
      <c r="BD15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15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10</v>
      </c>
      <c r="BF159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11</v>
      </c>
      <c r="BG15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5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5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59" s="405">
        <f>Таблица7[[#This Row],[Броня]]+Таблица7[[#This Row],[Щит]]+Таблица7[[#This Row],[навык защиты]]</f>
        <v>14</v>
      </c>
      <c r="BK159" s="1006"/>
      <c r="BL159" s="1006"/>
      <c r="BM159" s="382"/>
      <c r="BN159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59" s="382">
        <v>2</v>
      </c>
      <c r="BP159" s="382">
        <v>1</v>
      </c>
      <c r="BQ159" s="382">
        <v>-1</v>
      </c>
      <c r="BR159" s="382">
        <v>2</v>
      </c>
      <c r="BS159" s="382">
        <v>1</v>
      </c>
      <c r="BT159" s="382">
        <v>9</v>
      </c>
      <c r="BU159" s="978" t="s">
        <v>1576</v>
      </c>
      <c r="BV159" s="978" t="s">
        <v>1843</v>
      </c>
      <c r="BW159" s="382"/>
      <c r="BX159" s="382"/>
      <c r="BY159" s="382"/>
      <c r="BZ159" s="77"/>
    </row>
    <row r="160" spans="1:78" s="75" customFormat="1" ht="40.5" customHeight="1" x14ac:dyDescent="0.25">
      <c r="A160" s="333">
        <v>159</v>
      </c>
      <c r="B160" s="283" t="s">
        <v>1283</v>
      </c>
      <c r="C160" s="283"/>
      <c r="D160" s="283" t="s">
        <v>1555</v>
      </c>
      <c r="E160" s="283" t="s">
        <v>1546</v>
      </c>
      <c r="F160" s="283"/>
      <c r="G160" s="283"/>
      <c r="H160" s="283"/>
      <c r="I160" s="650">
        <v>0.9</v>
      </c>
      <c r="J160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32.4</v>
      </c>
      <c r="K160" s="599">
        <f>Таблица7[[#This Row],[Размер отряда минимум]]*1.25</f>
        <v>40.5</v>
      </c>
      <c r="L160" s="599">
        <f>Таблица7[[#This Row],[Размер отряда норма]]*1.5</f>
        <v>60.75</v>
      </c>
      <c r="M160" s="600">
        <f>Таблица7[[#This Row],[Размер отряда минимум]]*2.5</f>
        <v>81</v>
      </c>
      <c r="N160" s="600"/>
      <c r="O160" s="600"/>
      <c r="P160" s="600"/>
      <c r="Q160" s="600"/>
      <c r="R160" s="75" t="s">
        <v>9</v>
      </c>
      <c r="S160" s="957" t="s">
        <v>2882</v>
      </c>
      <c r="T160" s="283" t="s">
        <v>975</v>
      </c>
      <c r="U160" s="284" t="s">
        <v>1088</v>
      </c>
      <c r="V160" s="286"/>
      <c r="W160" s="283" t="s">
        <v>1001</v>
      </c>
      <c r="X160" s="338" t="s">
        <v>1472</v>
      </c>
      <c r="Y160" s="338"/>
      <c r="Z160" s="338" t="s">
        <v>1020</v>
      </c>
      <c r="AA160" s="338"/>
      <c r="AB160" s="411" t="s">
        <v>1475</v>
      </c>
      <c r="AC160" s="411"/>
      <c r="AD160" s="284" t="s">
        <v>985</v>
      </c>
      <c r="AE160" s="284"/>
      <c r="AF160" s="362" t="s">
        <v>991</v>
      </c>
      <c r="AG160" s="362"/>
      <c r="AH160" s="283" t="s">
        <v>985</v>
      </c>
      <c r="AI160" s="283"/>
      <c r="AJ160" s="284" t="s">
        <v>985</v>
      </c>
      <c r="AK160" s="284"/>
      <c r="AL160" s="285" t="s">
        <v>985</v>
      </c>
      <c r="AM160" s="283" t="s">
        <v>977</v>
      </c>
      <c r="AN160" s="283" t="s">
        <v>1167</v>
      </c>
      <c r="AO160" s="283"/>
      <c r="AP160" s="75" t="s">
        <v>9</v>
      </c>
      <c r="AS160" s="75">
        <v>1500</v>
      </c>
      <c r="AT160" s="76">
        <v>1576</v>
      </c>
      <c r="AU160" s="405">
        <v>7</v>
      </c>
      <c r="AV160" s="405"/>
      <c r="AW160" s="405">
        <f>VLOOKUP(Таблица7[[#This Row],[Основное оружие]], Оружие[#All], 2, 0)</f>
        <v>2</v>
      </c>
      <c r="AX160" s="405">
        <f>IF(ISBLANK(Таблица7[[#This Row],[Дополнительное оружие]]),"", VLOOKUP(Таблица7[[#This Row],[Дополнительное оружие]], Оружие[#All], 2, 0))</f>
        <v>2</v>
      </c>
      <c r="AY16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6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6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160" s="405">
        <f>VLOOKUP(Таблица7[[#This Row],[Основное оружие]], Оружие[#All], 3, 0)</f>
        <v>12</v>
      </c>
      <c r="BC160" s="405">
        <f>IF(ISBLANK(Таблица7[[#This Row],[Дополнительное оружие]]),"", VLOOKUP(Таблица7[[#This Row],[Дополнительное оружие]], Оружие[#All], 3, 0))</f>
        <v>3</v>
      </c>
      <c r="BD16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6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16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6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6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6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60" s="405">
        <f>Таблица7[[#This Row],[Броня]]+Таблица7[[#This Row],[Щит]]+Таблица7[[#This Row],[навык защиты]]</f>
        <v>10</v>
      </c>
      <c r="BK160" s="1008" t="s">
        <v>1589</v>
      </c>
      <c r="BL160" s="1008"/>
      <c r="BM160" s="382"/>
      <c r="BN160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60" s="382">
        <v>2</v>
      </c>
      <c r="BP160" s="382">
        <v>-2</v>
      </c>
      <c r="BQ160" s="382">
        <v>0</v>
      </c>
      <c r="BR160" s="382">
        <v>-4</v>
      </c>
      <c r="BS160" s="382">
        <v>-2</v>
      </c>
      <c r="BT160" s="382">
        <v>11</v>
      </c>
      <c r="BU160" s="978" t="s">
        <v>1576</v>
      </c>
      <c r="BV160" s="978" t="s">
        <v>1843</v>
      </c>
      <c r="BW160" s="382"/>
      <c r="BX160" s="382"/>
      <c r="BY160" s="382"/>
      <c r="BZ160" s="77"/>
    </row>
    <row r="161" spans="1:78" s="75" customFormat="1" ht="40.5" customHeight="1" x14ac:dyDescent="0.25">
      <c r="A161" s="333">
        <v>160</v>
      </c>
      <c r="B161" s="283" t="s">
        <v>1212</v>
      </c>
      <c r="C161" s="283"/>
      <c r="D161" s="283" t="s">
        <v>1555</v>
      </c>
      <c r="E161" s="283" t="s">
        <v>1546</v>
      </c>
      <c r="F161" s="283"/>
      <c r="G161" s="283"/>
      <c r="H161" s="283"/>
      <c r="I161" s="650">
        <v>0.9</v>
      </c>
      <c r="J161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61" s="599">
        <f>Таблица7[[#This Row],[Размер отряда минимум]]*1.25</f>
        <v>45</v>
      </c>
      <c r="L161" s="599">
        <f>Таблица7[[#This Row],[Размер отряда норма]]*1.5</f>
        <v>67.5</v>
      </c>
      <c r="M161" s="600">
        <f>Таблица7[[#This Row],[Размер отряда минимум]]*2.5</f>
        <v>90</v>
      </c>
      <c r="N161" s="600"/>
      <c r="O161" s="600"/>
      <c r="P161" s="600"/>
      <c r="Q161" s="600"/>
      <c r="R161" s="75" t="s">
        <v>9</v>
      </c>
      <c r="S161" s="957" t="s">
        <v>2882</v>
      </c>
      <c r="T161" s="283" t="s">
        <v>1032</v>
      </c>
      <c r="U161" s="284" t="s">
        <v>1088</v>
      </c>
      <c r="V161" s="286"/>
      <c r="W161" s="283" t="s">
        <v>984</v>
      </c>
      <c r="X161" s="283" t="s">
        <v>1528</v>
      </c>
      <c r="Y161" s="283"/>
      <c r="Z161" s="283" t="s">
        <v>1020</v>
      </c>
      <c r="AA161" s="283"/>
      <c r="AB161" s="283"/>
      <c r="AC161" s="283"/>
      <c r="AD161" s="284" t="s">
        <v>985</v>
      </c>
      <c r="AE161" s="284"/>
      <c r="AF161" s="283" t="s">
        <v>991</v>
      </c>
      <c r="AG161" s="283"/>
      <c r="AH161" s="283" t="s">
        <v>985</v>
      </c>
      <c r="AI161" s="283"/>
      <c r="AJ161" s="284" t="s">
        <v>985</v>
      </c>
      <c r="AK161" s="284"/>
      <c r="AL161" s="285" t="s">
        <v>985</v>
      </c>
      <c r="AM161" s="283" t="s">
        <v>978</v>
      </c>
      <c r="AN161" s="283" t="s">
        <v>1023</v>
      </c>
      <c r="AO161" s="283"/>
      <c r="AP161" s="75" t="s">
        <v>9</v>
      </c>
      <c r="AS161" s="75">
        <v>1500</v>
      </c>
      <c r="AT161" s="76"/>
      <c r="AU161" s="405">
        <v>4</v>
      </c>
      <c r="AV161" s="405"/>
      <c r="AW161" s="405">
        <f>VLOOKUP(Таблица7[[#This Row],[Основное оружие]], Оружие[#All], 2, 0)</f>
        <v>2</v>
      </c>
      <c r="AX161" s="405">
        <f>IF(ISBLANK(Таблица7[[#This Row],[Дополнительное оружие]]),"", VLOOKUP(Таблица7[[#This Row],[Дополнительное оружие]], Оружие[#All], 2, 0))</f>
        <v>2</v>
      </c>
      <c r="AY16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16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16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161" s="405">
        <f>VLOOKUP(Таблица7[[#This Row],[Основное оружие]], Оружие[#All], 3, 0)</f>
        <v>6</v>
      </c>
      <c r="BC161" s="405">
        <f>IF(ISBLANK(Таблица7[[#This Row],[Дополнительное оружие]]),"", VLOOKUP(Таблица7[[#This Row],[Дополнительное оружие]], Оружие[#All], 3, 0))</f>
        <v>3</v>
      </c>
      <c r="BD16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6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16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6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6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6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61" s="405">
        <f>Таблица7[[#This Row],[Броня]]+Таблица7[[#This Row],[Щит]]+Таблица7[[#This Row],[навык защиты]]</f>
        <v>4</v>
      </c>
      <c r="BK161" s="1008" t="s">
        <v>1589</v>
      </c>
      <c r="BL161" s="1008"/>
      <c r="BM161" s="382"/>
      <c r="BN161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61" s="382">
        <v>2</v>
      </c>
      <c r="BP161" s="382">
        <v>-2</v>
      </c>
      <c r="BQ161" s="382">
        <v>0</v>
      </c>
      <c r="BR161" s="382">
        <v>-4</v>
      </c>
      <c r="BS161" s="382">
        <v>-2</v>
      </c>
      <c r="BT161" s="382">
        <v>7</v>
      </c>
      <c r="BU161" s="978" t="s">
        <v>1576</v>
      </c>
      <c r="BV161" s="978" t="s">
        <v>1842</v>
      </c>
      <c r="BW161" s="382"/>
      <c r="BX161" s="382"/>
      <c r="BY161" s="382"/>
      <c r="BZ161" s="77"/>
    </row>
    <row r="162" spans="1:78" s="75" customFormat="1" ht="40.5" customHeight="1" x14ac:dyDescent="0.25">
      <c r="A162" s="333">
        <v>161</v>
      </c>
      <c r="B162" s="283" t="s">
        <v>1213</v>
      </c>
      <c r="C162" s="283"/>
      <c r="D162" s="283" t="s">
        <v>1555</v>
      </c>
      <c r="E162" s="283" t="s">
        <v>1570</v>
      </c>
      <c r="F162" s="283"/>
      <c r="G162" s="283"/>
      <c r="H162" s="283"/>
      <c r="I162" s="650">
        <v>0.9</v>
      </c>
      <c r="J162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32.4</v>
      </c>
      <c r="K162" s="599">
        <f>Таблица7[[#This Row],[Размер отряда минимум]]*1.25</f>
        <v>40.5</v>
      </c>
      <c r="L162" s="599">
        <f>Таблица7[[#This Row],[Размер отряда норма]]*1.5</f>
        <v>60.75</v>
      </c>
      <c r="M162" s="600">
        <f>Таблица7[[#This Row],[Размер отряда минимум]]*2.5</f>
        <v>81</v>
      </c>
      <c r="N162" s="600"/>
      <c r="O162" s="600"/>
      <c r="P162" s="600"/>
      <c r="Q162" s="600"/>
      <c r="R162" s="75" t="s">
        <v>9</v>
      </c>
      <c r="S162" s="957" t="s">
        <v>2882</v>
      </c>
      <c r="T162" s="283" t="s">
        <v>975</v>
      </c>
      <c r="U162" s="284" t="s">
        <v>1190</v>
      </c>
      <c r="V162" s="286"/>
      <c r="W162" s="283" t="s">
        <v>984</v>
      </c>
      <c r="X162" s="283" t="s">
        <v>1688</v>
      </c>
      <c r="Y162" s="283"/>
      <c r="Z162" s="283" t="s">
        <v>1020</v>
      </c>
      <c r="AA162" s="283"/>
      <c r="AB162" s="283"/>
      <c r="AC162" s="283"/>
      <c r="AD162" s="284" t="s">
        <v>985</v>
      </c>
      <c r="AE162" s="284"/>
      <c r="AF162" s="283" t="s">
        <v>991</v>
      </c>
      <c r="AG162" s="283"/>
      <c r="AH162" s="283" t="s">
        <v>985</v>
      </c>
      <c r="AI162" s="283"/>
      <c r="AJ162" s="284" t="s">
        <v>985</v>
      </c>
      <c r="AK162" s="284"/>
      <c r="AL162" s="285" t="s">
        <v>985</v>
      </c>
      <c r="AM162" s="283" t="s">
        <v>977</v>
      </c>
      <c r="AN162" s="283" t="s">
        <v>1167</v>
      </c>
      <c r="AO162" s="283"/>
      <c r="AP162" s="75" t="s">
        <v>9</v>
      </c>
      <c r="AS162" s="75">
        <v>1500</v>
      </c>
      <c r="AT162" s="76">
        <v>1576</v>
      </c>
      <c r="AU162" s="405">
        <v>8</v>
      </c>
      <c r="AV162" s="405" t="s">
        <v>1827</v>
      </c>
      <c r="AW162" s="405">
        <f>VLOOKUP(Таблица7[[#This Row],[Основное оружие]], Оружие[#All], 2, 0)</f>
        <v>0</v>
      </c>
      <c r="AX162" s="405">
        <f>IF(ISBLANK(Таблица7[[#This Row],[Дополнительное оружие]]),"", VLOOKUP(Таблица7[[#This Row],[Дополнительное оружие]], Оружие[#All], 2, 0))</f>
        <v>2</v>
      </c>
      <c r="AY16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16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6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62" s="405">
        <f>VLOOKUP(Таблица7[[#This Row],[Основное оружие]], Оружие[#All], 3, 0)</f>
        <v>1</v>
      </c>
      <c r="BC162" s="405">
        <f>IF(ISBLANK(Таблица7[[#This Row],[Дополнительное оружие]]),"", VLOOKUP(Таблица7[[#This Row],[Дополнительное оружие]], Оружие[#All], 3, 0))</f>
        <v>3</v>
      </c>
      <c r="BD16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6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16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6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6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6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62" s="405">
        <f>Таблица7[[#This Row],[Броня]]+Таблица7[[#This Row],[Щит]]+Таблица7[[#This Row],[навык защиты]]</f>
        <v>8</v>
      </c>
      <c r="BK162" s="1008" t="s">
        <v>1589</v>
      </c>
      <c r="BL162" s="1008"/>
      <c r="BM162" s="382"/>
      <c r="BN162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62" s="382">
        <v>2</v>
      </c>
      <c r="BP162" s="382">
        <v>-2</v>
      </c>
      <c r="BQ162" s="382">
        <v>0</v>
      </c>
      <c r="BR162" s="382">
        <v>-4</v>
      </c>
      <c r="BS162" s="382">
        <v>-2</v>
      </c>
      <c r="BT162" s="382">
        <v>10</v>
      </c>
      <c r="BU162" s="978" t="s">
        <v>1576</v>
      </c>
      <c r="BV162" s="978" t="s">
        <v>1843</v>
      </c>
      <c r="BW162" s="382"/>
      <c r="BX162" s="382"/>
      <c r="BY162" s="382"/>
      <c r="BZ162" s="77"/>
    </row>
    <row r="163" spans="1:78" s="75" customFormat="1" ht="40.5" customHeight="1" x14ac:dyDescent="0.25">
      <c r="A163" s="333">
        <v>162</v>
      </c>
      <c r="B163" s="283" t="s">
        <v>1284</v>
      </c>
      <c r="C163" s="283"/>
      <c r="D163" s="283" t="s">
        <v>1555</v>
      </c>
      <c r="E163" s="283" t="s">
        <v>1570</v>
      </c>
      <c r="F163" s="283"/>
      <c r="G163" s="283"/>
      <c r="H163" s="283"/>
      <c r="I163" s="650">
        <v>0.9</v>
      </c>
      <c r="J163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63" s="599">
        <f>Таблица7[[#This Row],[Размер отряда минимум]]*1.25</f>
        <v>45</v>
      </c>
      <c r="L163" s="599">
        <f>Таблица7[[#This Row],[Размер отряда норма]]*1.5</f>
        <v>67.5</v>
      </c>
      <c r="M163" s="600">
        <f>Таблица7[[#This Row],[Размер отряда минимум]]*2.5</f>
        <v>90</v>
      </c>
      <c r="N163" s="600"/>
      <c r="O163" s="600"/>
      <c r="P163" s="600"/>
      <c r="Q163" s="600"/>
      <c r="R163" s="75" t="s">
        <v>9</v>
      </c>
      <c r="S163" s="957" t="s">
        <v>2882</v>
      </c>
      <c r="T163" s="283" t="s">
        <v>976</v>
      </c>
      <c r="U163" s="284" t="s">
        <v>1139</v>
      </c>
      <c r="V163" s="286"/>
      <c r="W163" s="283" t="s">
        <v>984</v>
      </c>
      <c r="X163" s="283" t="s">
        <v>1469</v>
      </c>
      <c r="Y163" s="283"/>
      <c r="Z163" s="283" t="s">
        <v>1440</v>
      </c>
      <c r="AA163" s="283"/>
      <c r="AB163" s="283"/>
      <c r="AC163" s="283"/>
      <c r="AD163" s="284" t="s">
        <v>985</v>
      </c>
      <c r="AE163" s="284"/>
      <c r="AF163" s="283" t="s">
        <v>991</v>
      </c>
      <c r="AG163" s="283"/>
      <c r="AH163" s="283" t="s">
        <v>985</v>
      </c>
      <c r="AI163" s="283"/>
      <c r="AJ163" s="284" t="s">
        <v>985</v>
      </c>
      <c r="AK163" s="284"/>
      <c r="AL163" s="285" t="s">
        <v>985</v>
      </c>
      <c r="AM163" s="283" t="s">
        <v>978</v>
      </c>
      <c r="AN163" s="283" t="s">
        <v>1023</v>
      </c>
      <c r="AO163" s="283"/>
      <c r="AP163" s="75" t="s">
        <v>9</v>
      </c>
      <c r="AS163" s="75">
        <v>1576</v>
      </c>
      <c r="AT163" s="76"/>
      <c r="AU163" s="405">
        <v>5</v>
      </c>
      <c r="AV163" s="405" t="s">
        <v>1827</v>
      </c>
      <c r="AW163" s="405">
        <f>VLOOKUP(Таблица7[[#This Row],[Основное оружие]], Оружие[#All], 2, 0)</f>
        <v>0</v>
      </c>
      <c r="AX163" s="405">
        <f>IF(ISBLANK(Таблица7[[#This Row],[Дополнительное оружие]]),"", VLOOKUP(Таблица7[[#This Row],[Дополнительное оружие]], Оружие[#All], 2, 0))</f>
        <v>4</v>
      </c>
      <c r="AY16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6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6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163" s="405">
        <f>VLOOKUP(Таблица7[[#This Row],[Основное оружие]], Оружие[#All], 3, 0)</f>
        <v>1</v>
      </c>
      <c r="BC163" s="405">
        <f>IF(ISBLANK(Таблица7[[#This Row],[Дополнительное оружие]]),"", VLOOKUP(Таблица7[[#This Row],[Дополнительное оружие]], Оружие[#All], 3, 0))</f>
        <v>3</v>
      </c>
      <c r="BD16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6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16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6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6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16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63" s="405">
        <f>Таблица7[[#This Row],[Броня]]+Таблица7[[#This Row],[Щит]]+Таблица7[[#This Row],[навык защиты]]</f>
        <v>5</v>
      </c>
      <c r="BK163" s="1008" t="s">
        <v>1589</v>
      </c>
      <c r="BL163" s="1008"/>
      <c r="BM163" s="382"/>
      <c r="BN163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63" s="382">
        <v>2</v>
      </c>
      <c r="BP163" s="382">
        <v>-2</v>
      </c>
      <c r="BQ163" s="382">
        <v>0</v>
      </c>
      <c r="BR163" s="382">
        <v>-4</v>
      </c>
      <c r="BS163" s="382">
        <v>-2</v>
      </c>
      <c r="BT163" s="382">
        <v>6</v>
      </c>
      <c r="BU163" s="978" t="s">
        <v>1576</v>
      </c>
      <c r="BV163" s="978" t="s">
        <v>1843</v>
      </c>
      <c r="BW163" s="382"/>
      <c r="BX163" s="382"/>
      <c r="BY163" s="382"/>
      <c r="BZ163" s="77"/>
    </row>
    <row r="164" spans="1:78" s="75" customFormat="1" ht="40.5" customHeight="1" x14ac:dyDescent="0.25">
      <c r="A164" s="333">
        <v>163</v>
      </c>
      <c r="B164" s="283" t="s">
        <v>1285</v>
      </c>
      <c r="C164" s="283"/>
      <c r="D164" s="283" t="s">
        <v>1555</v>
      </c>
      <c r="E164" s="283" t="s">
        <v>1570</v>
      </c>
      <c r="F164" s="283"/>
      <c r="G164" s="283"/>
      <c r="H164" s="283"/>
      <c r="I164" s="650">
        <v>0.9</v>
      </c>
      <c r="J164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64" s="599">
        <f>Таблица7[[#This Row],[Размер отряда минимум]]*1.25</f>
        <v>45</v>
      </c>
      <c r="L164" s="599">
        <f>Таблица7[[#This Row],[Размер отряда норма]]*1.5</f>
        <v>67.5</v>
      </c>
      <c r="M164" s="600">
        <f>Таблица7[[#This Row],[Размер отряда минимум]]*2.5</f>
        <v>90</v>
      </c>
      <c r="N164" s="600"/>
      <c r="O164" s="600"/>
      <c r="P164" s="600"/>
      <c r="Q164" s="600"/>
      <c r="R164" s="283" t="s">
        <v>1231</v>
      </c>
      <c r="S164" s="957" t="s">
        <v>2882</v>
      </c>
      <c r="T164" s="283" t="s">
        <v>1032</v>
      </c>
      <c r="U164" s="284" t="s">
        <v>1214</v>
      </c>
      <c r="V164" s="286"/>
      <c r="W164" s="284" t="s">
        <v>1001</v>
      </c>
      <c r="X164" s="283" t="s">
        <v>1688</v>
      </c>
      <c r="Y164" s="283"/>
      <c r="Z164" s="283" t="s">
        <v>1036</v>
      </c>
      <c r="AA164" s="283"/>
      <c r="AB164" s="283"/>
      <c r="AC164" s="283"/>
      <c r="AD164" s="284" t="s">
        <v>1027</v>
      </c>
      <c r="AE164" s="284"/>
      <c r="AF164" s="283" t="s">
        <v>1202</v>
      </c>
      <c r="AG164" s="283"/>
      <c r="AH164" s="283" t="s">
        <v>1478</v>
      </c>
      <c r="AI164" s="283"/>
      <c r="AJ164" s="284" t="s">
        <v>985</v>
      </c>
      <c r="AK164" s="284"/>
      <c r="AL164" s="285" t="s">
        <v>985</v>
      </c>
      <c r="AM164" s="283" t="s">
        <v>977</v>
      </c>
      <c r="AN164" s="283" t="s">
        <v>1167</v>
      </c>
      <c r="AO164" s="283"/>
      <c r="AP164" s="283" t="s">
        <v>1231</v>
      </c>
      <c r="AQ164" s="283"/>
      <c r="AS164" s="75">
        <v>1500</v>
      </c>
      <c r="AT164" s="76"/>
      <c r="AU164" s="405">
        <v>8</v>
      </c>
      <c r="AV164" s="405" t="s">
        <v>1827</v>
      </c>
      <c r="AW164" s="405">
        <f>VLOOKUP(Таблица7[[#This Row],[Основное оружие]], Оружие[#All], 2, 0)</f>
        <v>0</v>
      </c>
      <c r="AX164" s="405">
        <f>IF(ISBLANK(Таблица7[[#This Row],[Дополнительное оружие]]),"", VLOOKUP(Таблица7[[#This Row],[Дополнительное оружие]], Оружие[#All], 2, 0))</f>
        <v>5</v>
      </c>
      <c r="AY16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16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6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15</v>
      </c>
      <c r="BB164" s="405">
        <f>VLOOKUP(Таблица7[[#This Row],[Основное оружие]], Оружие[#All], 3, 0)</f>
        <v>1</v>
      </c>
      <c r="BC164" s="405">
        <f>IF(ISBLANK(Таблица7[[#This Row],[Дополнительное оружие]]),"", VLOOKUP(Таблица7[[#This Row],[Дополнительное оружие]], Оружие[#All], 3, 0))</f>
        <v>3</v>
      </c>
      <c r="BD16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6</v>
      </c>
      <c r="BE16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64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9</v>
      </c>
      <c r="BG16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6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6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64" s="405">
        <f>Таблица7[[#This Row],[Броня]]+Таблица7[[#This Row],[Щит]]+Таблица7[[#This Row],[навык защиты]]</f>
        <v>13</v>
      </c>
      <c r="BK164" s="1006"/>
      <c r="BL164" s="1006"/>
      <c r="BM164" s="382"/>
      <c r="BN164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64" s="382">
        <v>2</v>
      </c>
      <c r="BP164" s="382">
        <v>-2</v>
      </c>
      <c r="BQ164" s="382">
        <v>0</v>
      </c>
      <c r="BR164" s="382">
        <v>-4</v>
      </c>
      <c r="BS164" s="382">
        <v>-2</v>
      </c>
      <c r="BT164" s="382">
        <v>10</v>
      </c>
      <c r="BU164" s="978" t="s">
        <v>1576</v>
      </c>
      <c r="BV164" s="978" t="s">
        <v>1843</v>
      </c>
      <c r="BW164" s="382"/>
      <c r="BX164" s="382"/>
      <c r="BY164" s="382"/>
      <c r="BZ164" s="77"/>
    </row>
    <row r="165" spans="1:78" s="75" customFormat="1" ht="40.5" customHeight="1" x14ac:dyDescent="0.25">
      <c r="A165" s="333">
        <v>164</v>
      </c>
      <c r="B165" s="283" t="s">
        <v>1286</v>
      </c>
      <c r="C165" s="283"/>
      <c r="D165" s="283" t="s">
        <v>1555</v>
      </c>
      <c r="E165" s="283" t="s">
        <v>1558</v>
      </c>
      <c r="F165" s="283"/>
      <c r="G165" s="283"/>
      <c r="H165" s="283"/>
      <c r="I165" s="650">
        <v>0.9</v>
      </c>
      <c r="J165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32.4</v>
      </c>
      <c r="K165" s="599">
        <f>Таблица7[[#This Row],[Размер отряда минимум]]*1.25</f>
        <v>40.5</v>
      </c>
      <c r="L165" s="599">
        <f>Таблица7[[#This Row],[Размер отряда норма]]*1.5</f>
        <v>60.75</v>
      </c>
      <c r="M165" s="600">
        <f>Таблица7[[#This Row],[Размер отряда минимум]]*2.5</f>
        <v>81</v>
      </c>
      <c r="N165" s="600"/>
      <c r="O165" s="600"/>
      <c r="P165" s="600"/>
      <c r="Q165" s="600"/>
      <c r="R165" s="75" t="s">
        <v>9</v>
      </c>
      <c r="S165" s="957" t="s">
        <v>2882</v>
      </c>
      <c r="T165" s="283" t="s">
        <v>975</v>
      </c>
      <c r="U165" s="284" t="s">
        <v>1000</v>
      </c>
      <c r="V165" s="286"/>
      <c r="W165" s="283" t="s">
        <v>1001</v>
      </c>
      <c r="X165" s="283" t="s">
        <v>1528</v>
      </c>
      <c r="Y165" s="283"/>
      <c r="Z165" s="355" t="s">
        <v>1476</v>
      </c>
      <c r="AA165" s="355"/>
      <c r="AB165" s="411" t="s">
        <v>1475</v>
      </c>
      <c r="AC165" s="411"/>
      <c r="AD165" s="284" t="s">
        <v>1027</v>
      </c>
      <c r="AE165" s="284"/>
      <c r="AF165" s="283" t="s">
        <v>1202</v>
      </c>
      <c r="AG165" s="283"/>
      <c r="AH165" s="283" t="s">
        <v>985</v>
      </c>
      <c r="AI165" s="283"/>
      <c r="AJ165" s="284" t="s">
        <v>985</v>
      </c>
      <c r="AK165" s="284"/>
      <c r="AL165" s="285" t="s">
        <v>985</v>
      </c>
      <c r="AM165" s="283" t="s">
        <v>977</v>
      </c>
      <c r="AN165" s="283" t="s">
        <v>1167</v>
      </c>
      <c r="AO165" s="283"/>
      <c r="AP165" s="75" t="s">
        <v>9</v>
      </c>
      <c r="AS165" s="75">
        <v>1500</v>
      </c>
      <c r="AT165" s="76">
        <v>1576</v>
      </c>
      <c r="AU165" s="405">
        <v>7</v>
      </c>
      <c r="AV165" s="405"/>
      <c r="AW165" s="405">
        <f>VLOOKUP(Таблица7[[#This Row],[Основное оружие]], Оружие[#All], 2, 0)</f>
        <v>2</v>
      </c>
      <c r="AX165" s="405">
        <f>IF(ISBLANK(Таблица7[[#This Row],[Дополнительное оружие]]),"", VLOOKUP(Таблица7[[#This Row],[Дополнительное оружие]], Оружие[#All], 2, 0))</f>
        <v>3</v>
      </c>
      <c r="AY16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6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16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165" s="405">
        <f>VLOOKUP(Таблица7[[#This Row],[Основное оружие]], Оружие[#All], 3, 0)</f>
        <v>6</v>
      </c>
      <c r="BC165" s="405">
        <f>IF(ISBLANK(Таблица7[[#This Row],[Дополнительное оружие]]),"", VLOOKUP(Таблица7[[#This Row],[Дополнительное оружие]], Оружие[#All], 3, 0))</f>
        <v>3</v>
      </c>
      <c r="BD16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6</v>
      </c>
      <c r="BE16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6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6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6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6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165" s="405">
        <f>Таблица7[[#This Row],[Броня]]+Таблица7[[#This Row],[Щит]]+Таблица7[[#This Row],[навык защиты]]</f>
        <v>15</v>
      </c>
      <c r="BK165" s="1006"/>
      <c r="BL165" s="1006"/>
      <c r="BM165" s="382"/>
      <c r="BN165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65" s="382">
        <v>2</v>
      </c>
      <c r="BP165" s="382">
        <v>-2</v>
      </c>
      <c r="BQ165" s="382">
        <v>0</v>
      </c>
      <c r="BR165" s="382">
        <v>-4</v>
      </c>
      <c r="BS165" s="382">
        <v>-2</v>
      </c>
      <c r="BT165" s="382">
        <v>11</v>
      </c>
      <c r="BU165" s="978" t="s">
        <v>1576</v>
      </c>
      <c r="BV165" s="978" t="s">
        <v>1843</v>
      </c>
      <c r="BW165" s="382"/>
      <c r="BX165" s="382"/>
      <c r="BY165" s="382"/>
      <c r="BZ165" s="77"/>
    </row>
    <row r="166" spans="1:78" s="75" customFormat="1" ht="40.5" customHeight="1" x14ac:dyDescent="0.25">
      <c r="A166" s="333">
        <v>165</v>
      </c>
      <c r="B166" s="283" t="s">
        <v>1287</v>
      </c>
      <c r="C166" s="283"/>
      <c r="D166" s="283" t="s">
        <v>1555</v>
      </c>
      <c r="E166" s="283" t="s">
        <v>1570</v>
      </c>
      <c r="F166" s="283"/>
      <c r="G166" s="283"/>
      <c r="H166" s="283"/>
      <c r="I166" s="650">
        <v>0.9</v>
      </c>
      <c r="J166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66" s="599">
        <f>Таблица7[[#This Row],[Размер отряда минимум]]*1.25</f>
        <v>45</v>
      </c>
      <c r="L166" s="599">
        <f>Таблица7[[#This Row],[Размер отряда норма]]*1.5</f>
        <v>67.5</v>
      </c>
      <c r="M166" s="600">
        <f>Таблица7[[#This Row],[Размер отряда минимум]]*2.5</f>
        <v>90</v>
      </c>
      <c r="N166" s="600"/>
      <c r="O166" s="600"/>
      <c r="P166" s="600"/>
      <c r="Q166" s="600"/>
      <c r="R166" s="75" t="s">
        <v>9</v>
      </c>
      <c r="S166" s="957" t="s">
        <v>2882</v>
      </c>
      <c r="T166" s="283" t="s">
        <v>976</v>
      </c>
      <c r="U166" s="284" t="s">
        <v>1170</v>
      </c>
      <c r="V166" s="286"/>
      <c r="W166" s="283" t="s">
        <v>1001</v>
      </c>
      <c r="X166" s="283" t="s">
        <v>1688</v>
      </c>
      <c r="Y166" s="283"/>
      <c r="Z166" s="283" t="s">
        <v>1441</v>
      </c>
      <c r="AA166" s="283"/>
      <c r="AB166" s="283"/>
      <c r="AC166" s="283"/>
      <c r="AD166" s="284" t="s">
        <v>1027</v>
      </c>
      <c r="AE166" s="284"/>
      <c r="AF166" s="283" t="s">
        <v>1202</v>
      </c>
      <c r="AG166" s="283"/>
      <c r="AH166" s="283" t="s">
        <v>985</v>
      </c>
      <c r="AI166" s="283"/>
      <c r="AJ166" s="284" t="s">
        <v>985</v>
      </c>
      <c r="AK166" s="284"/>
      <c r="AL166" s="285" t="s">
        <v>985</v>
      </c>
      <c r="AM166" s="283" t="s">
        <v>977</v>
      </c>
      <c r="AN166" s="283" t="s">
        <v>1023</v>
      </c>
      <c r="AO166" s="283"/>
      <c r="AP166" s="75" t="s">
        <v>9</v>
      </c>
      <c r="AS166" s="75">
        <v>1576</v>
      </c>
      <c r="AT166" s="76"/>
      <c r="AU166" s="405">
        <v>7</v>
      </c>
      <c r="AV166" s="405" t="s">
        <v>1828</v>
      </c>
      <c r="AW166" s="405">
        <f>VLOOKUP(Таблица7[[#This Row],[Основное оружие]], Оружие[#All], 2, 0)</f>
        <v>0</v>
      </c>
      <c r="AX166" s="405">
        <f>IF(ISBLANK(Таблица7[[#This Row],[Дополнительное оружие]]),"", VLOOKUP(Таблица7[[#This Row],[Дополнительное оружие]], Оружие[#All], 2, 0))</f>
        <v>4</v>
      </c>
      <c r="AY16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6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6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66" s="405">
        <f>VLOOKUP(Таблица7[[#This Row],[Основное оружие]], Оружие[#All], 3, 0)</f>
        <v>1</v>
      </c>
      <c r="BC166" s="405">
        <f>IF(ISBLANK(Таблица7[[#This Row],[Дополнительное оружие]]),"", VLOOKUP(Таблица7[[#This Row],[Дополнительное оружие]], Оружие[#All], 3, 0))</f>
        <v>3</v>
      </c>
      <c r="BD16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6</v>
      </c>
      <c r="BE16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6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6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6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6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66" s="405">
        <f>Таблица7[[#This Row],[Броня]]+Таблица7[[#This Row],[Щит]]+Таблица7[[#This Row],[навык защиты]]</f>
        <v>12</v>
      </c>
      <c r="BK166" s="1006"/>
      <c r="BL166" s="1006"/>
      <c r="BM166" s="382"/>
      <c r="BN166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66" s="382">
        <v>1</v>
      </c>
      <c r="BP166" s="382">
        <v>-2</v>
      </c>
      <c r="BQ166" s="382">
        <v>0</v>
      </c>
      <c r="BR166" s="382">
        <v>-4</v>
      </c>
      <c r="BS166" s="382">
        <v>-2</v>
      </c>
      <c r="BT166" s="382">
        <v>10</v>
      </c>
      <c r="BU166" s="978" t="s">
        <v>1576</v>
      </c>
      <c r="BV166" s="978" t="s">
        <v>1842</v>
      </c>
      <c r="BW166" s="382"/>
      <c r="BX166" s="382"/>
      <c r="BY166" s="382"/>
      <c r="BZ166" s="77"/>
    </row>
    <row r="167" spans="1:78" s="75" customFormat="1" ht="40.5" customHeight="1" x14ac:dyDescent="0.25">
      <c r="A167" s="333">
        <v>166</v>
      </c>
      <c r="B167" s="308" t="s">
        <v>1423</v>
      </c>
      <c r="C167" s="308"/>
      <c r="D167" s="283" t="s">
        <v>1555</v>
      </c>
      <c r="E167" s="283" t="s">
        <v>1558</v>
      </c>
      <c r="F167" s="283"/>
      <c r="G167" s="283"/>
      <c r="H167" s="283"/>
      <c r="I167" s="650">
        <v>0.9</v>
      </c>
      <c r="J167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67" s="599">
        <f>Таблица7[[#This Row],[Размер отряда минимум]]*1.25</f>
        <v>45</v>
      </c>
      <c r="L167" s="599">
        <f>Таблица7[[#This Row],[Размер отряда норма]]*1.5</f>
        <v>67.5</v>
      </c>
      <c r="M167" s="600">
        <f>Таблица7[[#This Row],[Размер отряда минимум]]*2.5</f>
        <v>90</v>
      </c>
      <c r="N167" s="600"/>
      <c r="O167" s="600"/>
      <c r="P167" s="600"/>
      <c r="Q167" s="600"/>
      <c r="R167" s="75" t="s">
        <v>9</v>
      </c>
      <c r="S167" s="957" t="s">
        <v>2882</v>
      </c>
      <c r="T167" s="283" t="s">
        <v>976</v>
      </c>
      <c r="U167" s="284" t="s">
        <v>1000</v>
      </c>
      <c r="V167" s="286"/>
      <c r="W167" s="284" t="s">
        <v>1001</v>
      </c>
      <c r="X167" s="283" t="s">
        <v>1528</v>
      </c>
      <c r="Y167" s="283"/>
      <c r="Z167" s="283" t="s">
        <v>1441</v>
      </c>
      <c r="AA167" s="283"/>
      <c r="AB167" s="283"/>
      <c r="AC167" s="283"/>
      <c r="AD167" s="284" t="s">
        <v>1027</v>
      </c>
      <c r="AE167" s="284"/>
      <c r="AF167" s="283" t="s">
        <v>1202</v>
      </c>
      <c r="AG167" s="283"/>
      <c r="AH167" s="283" t="s">
        <v>985</v>
      </c>
      <c r="AI167" s="283"/>
      <c r="AJ167" s="284" t="s">
        <v>985</v>
      </c>
      <c r="AK167" s="284"/>
      <c r="AL167" s="285" t="s">
        <v>985</v>
      </c>
      <c r="AM167" s="283" t="s">
        <v>978</v>
      </c>
      <c r="AN167" s="283" t="s">
        <v>1023</v>
      </c>
      <c r="AO167" s="283"/>
      <c r="AP167" s="75" t="s">
        <v>9</v>
      </c>
      <c r="AS167" s="75">
        <v>1576</v>
      </c>
      <c r="AT167" s="76"/>
      <c r="AU167" s="405">
        <v>7</v>
      </c>
      <c r="AV167" s="405"/>
      <c r="AW167" s="405">
        <f>VLOOKUP(Таблица7[[#This Row],[Основное оружие]], Оружие[#All], 2, 0)</f>
        <v>2</v>
      </c>
      <c r="AX167" s="405">
        <f>IF(ISBLANK(Таблица7[[#This Row],[Дополнительное оружие]]),"", VLOOKUP(Таблица7[[#This Row],[Дополнительное оружие]], Оружие[#All], 2, 0))</f>
        <v>4</v>
      </c>
      <c r="AY16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6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16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67" s="405">
        <f>VLOOKUP(Таблица7[[#This Row],[Основное оружие]], Оружие[#All], 3, 0)</f>
        <v>6</v>
      </c>
      <c r="BC167" s="405">
        <f>IF(ISBLANK(Таблица7[[#This Row],[Дополнительное оружие]]),"", VLOOKUP(Таблица7[[#This Row],[Дополнительное оружие]], Оружие[#All], 3, 0))</f>
        <v>3</v>
      </c>
      <c r="BD16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6</v>
      </c>
      <c r="BE16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6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6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6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6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67" s="405">
        <f>Таблица7[[#This Row],[Броня]]+Таблица7[[#This Row],[Щит]]+Таблица7[[#This Row],[навык защиты]]</f>
        <v>12</v>
      </c>
      <c r="BK167" s="1006"/>
      <c r="BL167" s="1006"/>
      <c r="BM167" s="382"/>
      <c r="BN167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67" s="382">
        <v>1</v>
      </c>
      <c r="BP167" s="382">
        <v>-2</v>
      </c>
      <c r="BQ167" s="382">
        <v>0</v>
      </c>
      <c r="BR167" s="382">
        <v>-4</v>
      </c>
      <c r="BS167" s="382">
        <v>-2</v>
      </c>
      <c r="BT167" s="382">
        <v>10</v>
      </c>
      <c r="BU167" s="978" t="s">
        <v>1576</v>
      </c>
      <c r="BV167" s="978" t="s">
        <v>1842</v>
      </c>
      <c r="BW167" s="382"/>
      <c r="BX167" s="382"/>
      <c r="BY167" s="382"/>
      <c r="BZ167" s="77"/>
    </row>
    <row r="168" spans="1:78" s="75" customFormat="1" ht="40.5" customHeight="1" x14ac:dyDescent="0.25">
      <c r="A168" s="333">
        <v>167</v>
      </c>
      <c r="B168" s="283" t="s">
        <v>1288</v>
      </c>
      <c r="C168" s="283"/>
      <c r="D168" s="283" t="s">
        <v>1555</v>
      </c>
      <c r="E168" s="283" t="s">
        <v>1448</v>
      </c>
      <c r="F168" s="283"/>
      <c r="G168" s="283"/>
      <c r="H168" s="283"/>
      <c r="I168" s="650">
        <v>0.9</v>
      </c>
      <c r="J168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28.8</v>
      </c>
      <c r="K168" s="599">
        <f>Таблица7[[#This Row],[Размер отряда минимум]]*1.25</f>
        <v>36</v>
      </c>
      <c r="L168" s="599">
        <f>Таблица7[[#This Row],[Размер отряда норма]]*1.5</f>
        <v>54</v>
      </c>
      <c r="M168" s="600">
        <f>Таблица7[[#This Row],[Размер отряда минимум]]*2.5</f>
        <v>72</v>
      </c>
      <c r="N168" s="600"/>
      <c r="O168" s="600"/>
      <c r="P168" s="600"/>
      <c r="Q168" s="600"/>
      <c r="R168" s="75" t="s">
        <v>9</v>
      </c>
      <c r="S168" s="957" t="s">
        <v>2882</v>
      </c>
      <c r="T168" s="283" t="s">
        <v>976</v>
      </c>
      <c r="U168" s="284" t="s">
        <v>1216</v>
      </c>
      <c r="V168" s="286"/>
      <c r="W168" s="284" t="s">
        <v>1001</v>
      </c>
      <c r="X168" s="355" t="s">
        <v>1472</v>
      </c>
      <c r="Y168" s="355"/>
      <c r="Z168" s="338" t="s">
        <v>1514</v>
      </c>
      <c r="AA168" s="338"/>
      <c r="AB168" s="338"/>
      <c r="AC168" s="338"/>
      <c r="AD168" s="793" t="s">
        <v>1211</v>
      </c>
      <c r="AE168" s="793"/>
      <c r="AF168" s="283" t="s">
        <v>1215</v>
      </c>
      <c r="AG168" s="283"/>
      <c r="AH168" s="283" t="s">
        <v>985</v>
      </c>
      <c r="AI168" s="283"/>
      <c r="AJ168" s="284" t="s">
        <v>985</v>
      </c>
      <c r="AK168" s="284"/>
      <c r="AL168" s="285" t="s">
        <v>985</v>
      </c>
      <c r="AM168" s="283" t="s">
        <v>977</v>
      </c>
      <c r="AN168" s="283" t="s">
        <v>1167</v>
      </c>
      <c r="AO168" s="283"/>
      <c r="AP168" s="75" t="s">
        <v>9</v>
      </c>
      <c r="AS168" s="75">
        <v>1576</v>
      </c>
      <c r="AT168" s="76"/>
      <c r="AU168" s="405">
        <v>9</v>
      </c>
      <c r="AV168" s="405"/>
      <c r="AW168" s="405">
        <f>VLOOKUP(Таблица7[[#This Row],[Основное оружие]], Оружие[#All], 2, 0)</f>
        <v>2</v>
      </c>
      <c r="AX168" s="405">
        <f>IF(ISBLANK(Таблица7[[#This Row],[Дополнительное оружие]]),"", VLOOKUP(Таблица7[[#This Row],[Дополнительное оружие]], Оружие[#All], 2, 0))</f>
        <v>4</v>
      </c>
      <c r="AY16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6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6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68" s="405">
        <f>VLOOKUP(Таблица7[[#This Row],[Основное оружие]], Оружие[#All], 3, 0)</f>
        <v>12</v>
      </c>
      <c r="BC168" s="405">
        <f>IF(ISBLANK(Таблица7[[#This Row],[Дополнительное оружие]]),"", VLOOKUP(Таблица7[[#This Row],[Дополнительное оружие]], Оружие[#All], 3, 0))</f>
        <v>6</v>
      </c>
      <c r="BD16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16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14</v>
      </c>
      <c r="BF16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6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6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6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68" s="405">
        <f>Таблица7[[#This Row],[Броня]]+Таблица7[[#This Row],[Щит]]+Таблица7[[#This Row],[навык защиты]]</f>
        <v>20</v>
      </c>
      <c r="BK168" s="1006"/>
      <c r="BL168" s="1006"/>
      <c r="BM168" s="382"/>
      <c r="BN168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68" s="382">
        <v>2</v>
      </c>
      <c r="BP168" s="382">
        <v>-2</v>
      </c>
      <c r="BQ168" s="382">
        <v>0</v>
      </c>
      <c r="BR168" s="382">
        <v>-4</v>
      </c>
      <c r="BS168" s="382">
        <v>-2</v>
      </c>
      <c r="BT168" s="382">
        <v>11</v>
      </c>
      <c r="BU168" s="978" t="s">
        <v>1840</v>
      </c>
      <c r="BV168" s="978" t="s">
        <v>1844</v>
      </c>
      <c r="BW168" s="382"/>
      <c r="BX168" s="382"/>
      <c r="BY168" s="382"/>
      <c r="BZ168" s="77"/>
    </row>
    <row r="169" spans="1:78" s="75" customFormat="1" ht="40.5" customHeight="1" x14ac:dyDescent="0.25">
      <c r="A169" s="333">
        <v>168</v>
      </c>
      <c r="B169" s="283" t="s">
        <v>1217</v>
      </c>
      <c r="C169" s="283"/>
      <c r="D169" s="283" t="s">
        <v>1555</v>
      </c>
      <c r="E169" s="283" t="s">
        <v>1547</v>
      </c>
      <c r="F169" s="283"/>
      <c r="G169" s="283"/>
      <c r="H169" s="283"/>
      <c r="I169" s="650">
        <v>0.9</v>
      </c>
      <c r="J169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169" s="599">
        <f>Таблица7[[#This Row],[Размер отряда минимум]]*1.25</f>
        <v>22.5</v>
      </c>
      <c r="L169" s="599">
        <f>Таблица7[[#This Row],[Размер отряда норма]]*1.5</f>
        <v>33.75</v>
      </c>
      <c r="M169" s="600">
        <f>Таблица7[[#This Row],[Размер отряда минимум]]*2.5</f>
        <v>45</v>
      </c>
      <c r="N169" s="600"/>
      <c r="O169" s="600"/>
      <c r="P169" s="600"/>
      <c r="Q169" s="600"/>
      <c r="R169" s="283" t="s">
        <v>1231</v>
      </c>
      <c r="S169" s="957" t="s">
        <v>2882</v>
      </c>
      <c r="T169" s="283" t="s">
        <v>975</v>
      </c>
      <c r="U169" s="284" t="s">
        <v>1082</v>
      </c>
      <c r="V169" s="286"/>
      <c r="W169" s="283" t="s">
        <v>1001</v>
      </c>
      <c r="X169" s="283" t="s">
        <v>1528</v>
      </c>
      <c r="Y169" s="283"/>
      <c r="Z169" s="283" t="s">
        <v>1036</v>
      </c>
      <c r="AA169" s="283"/>
      <c r="AB169" s="283"/>
      <c r="AC169" s="283"/>
      <c r="AD169" s="176" t="s">
        <v>1002</v>
      </c>
      <c r="AE169" s="176"/>
      <c r="AF169" s="75" t="s">
        <v>985</v>
      </c>
      <c r="AH169" s="75" t="s">
        <v>985</v>
      </c>
      <c r="AJ169" s="176" t="s">
        <v>1004</v>
      </c>
      <c r="AK169" s="176"/>
      <c r="AL169" s="285" t="s">
        <v>1163</v>
      </c>
      <c r="AM169" s="283" t="s">
        <v>977</v>
      </c>
      <c r="AN169" s="283" t="s">
        <v>1167</v>
      </c>
      <c r="AO169" s="283"/>
      <c r="AP169" s="283" t="s">
        <v>1231</v>
      </c>
      <c r="AQ169" s="283"/>
      <c r="AS169" s="75">
        <v>1500</v>
      </c>
      <c r="AT169" s="76">
        <v>1576</v>
      </c>
      <c r="AU169" s="405">
        <v>8</v>
      </c>
      <c r="AV169" s="405"/>
      <c r="AW169" s="405">
        <f>VLOOKUP(Таблица7[[#This Row],[Основное оружие]], Оружие[#All], 2, 0)</f>
        <v>2</v>
      </c>
      <c r="AX169" s="405">
        <f>IF(ISBLANK(Таблица7[[#This Row],[Дополнительное оружие]]),"", VLOOKUP(Таблица7[[#This Row],[Дополнительное оружие]], Оружие[#All], 2, 0))</f>
        <v>5</v>
      </c>
      <c r="AY16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6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16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69" s="405">
        <f>VLOOKUP(Таблица7[[#This Row],[Основное оружие]], Оружие[#All], 3, 0)</f>
        <v>6</v>
      </c>
      <c r="BC169" s="405">
        <f>IF(ISBLANK(Таблица7[[#This Row],[Дополнительное оружие]]),"", VLOOKUP(Таблица7[[#This Row],[Дополнительное оружие]], Оружие[#All], 3, 0))</f>
        <v>3</v>
      </c>
      <c r="BD16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16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6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69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16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6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69" s="405">
        <f>Таблица7[[#This Row],[Броня]]+Таблица7[[#This Row],[Щит]]+Таблица7[[#This Row],[навык защиты]]</f>
        <v>25</v>
      </c>
      <c r="BK169" s="1006"/>
      <c r="BL169" s="1006"/>
      <c r="BM169" s="382"/>
      <c r="BN169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69" s="382">
        <v>2</v>
      </c>
      <c r="BP169" s="382">
        <v>-2</v>
      </c>
      <c r="BQ169" s="382">
        <v>0</v>
      </c>
      <c r="BR169" s="382">
        <v>-4</v>
      </c>
      <c r="BS169" s="382">
        <v>-2</v>
      </c>
      <c r="BT169" s="382">
        <v>10</v>
      </c>
      <c r="BU169" s="978" t="s">
        <v>1840</v>
      </c>
      <c r="BV169" s="978" t="s">
        <v>1844</v>
      </c>
      <c r="BW169" s="382"/>
      <c r="BX169" s="382"/>
      <c r="BY169" s="382"/>
      <c r="BZ169" s="77"/>
    </row>
    <row r="170" spans="1:78" s="75" customFormat="1" ht="40.5" customHeight="1" x14ac:dyDescent="0.25">
      <c r="A170" s="333">
        <v>169</v>
      </c>
      <c r="B170" s="283" t="s">
        <v>1219</v>
      </c>
      <c r="C170" s="283"/>
      <c r="D170" s="283" t="s">
        <v>1556</v>
      </c>
      <c r="E170" s="283" t="s">
        <v>1570</v>
      </c>
      <c r="F170" s="283"/>
      <c r="G170" s="283"/>
      <c r="H170" s="283"/>
      <c r="I170" s="650">
        <v>0.75</v>
      </c>
      <c r="J170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70" s="599">
        <f>Таблица7[[#This Row],[Размер отряда минимум]]*1.25</f>
        <v>84.375</v>
      </c>
      <c r="L170" s="599">
        <f>Таблица7[[#This Row],[Размер отряда норма]]*1.5</f>
        <v>126.5625</v>
      </c>
      <c r="M170" s="600">
        <f>Таблица7[[#This Row],[Размер отряда минимум]]*2.5</f>
        <v>168.75</v>
      </c>
      <c r="N170" s="600"/>
      <c r="O170" s="600"/>
      <c r="P170" s="600"/>
      <c r="Q170" s="600"/>
      <c r="R170" s="75" t="s">
        <v>9</v>
      </c>
      <c r="S170" s="957" t="s">
        <v>2882</v>
      </c>
      <c r="T170" s="283" t="s">
        <v>975</v>
      </c>
      <c r="U170" s="284" t="s">
        <v>1218</v>
      </c>
      <c r="V170" s="286"/>
      <c r="W170" s="284" t="s">
        <v>984</v>
      </c>
      <c r="X170" s="283" t="s">
        <v>1469</v>
      </c>
      <c r="Y170" s="283"/>
      <c r="Z170" s="283" t="s">
        <v>1020</v>
      </c>
      <c r="AA170" s="283"/>
      <c r="AB170" s="283"/>
      <c r="AC170" s="283"/>
      <c r="AD170" s="284" t="s">
        <v>985</v>
      </c>
      <c r="AE170" s="284"/>
      <c r="AF170" s="283" t="s">
        <v>991</v>
      </c>
      <c r="AG170" s="283"/>
      <c r="AH170" s="283" t="s">
        <v>985</v>
      </c>
      <c r="AI170" s="283"/>
      <c r="AJ170" s="284" t="s">
        <v>985</v>
      </c>
      <c r="AK170" s="284"/>
      <c r="AL170" s="285" t="s">
        <v>985</v>
      </c>
      <c r="AM170" s="283" t="s">
        <v>978</v>
      </c>
      <c r="AN170" s="283" t="s">
        <v>1023</v>
      </c>
      <c r="AO170" s="283"/>
      <c r="AP170" s="75" t="s">
        <v>9</v>
      </c>
      <c r="AS170" s="75">
        <v>1500</v>
      </c>
      <c r="AT170" s="76">
        <v>1576</v>
      </c>
      <c r="AU170" s="405">
        <v>2</v>
      </c>
      <c r="AV170" s="405" t="s">
        <v>1827</v>
      </c>
      <c r="AW170" s="405">
        <f>VLOOKUP(Таблица7[[#This Row],[Основное оружие]], Оружие[#All], 2, 0)</f>
        <v>0</v>
      </c>
      <c r="AX170" s="405">
        <f>IF(ISBLANK(Таблица7[[#This Row],[Дополнительное оружие]]),"", VLOOKUP(Таблица7[[#This Row],[Дополнительное оружие]], Оружие[#All], 2, 0))</f>
        <v>2</v>
      </c>
      <c r="AY17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7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7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6</v>
      </c>
      <c r="BB170" s="405">
        <f>VLOOKUP(Таблица7[[#This Row],[Основное оружие]], Оружие[#All], 3, 0)</f>
        <v>1</v>
      </c>
      <c r="BC170" s="405">
        <f>IF(ISBLANK(Таблица7[[#This Row],[Дополнительное оружие]]),"", VLOOKUP(Таблица7[[#This Row],[Дополнительное оружие]], Оружие[#All], 3, 0))</f>
        <v>3</v>
      </c>
      <c r="BD17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7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17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7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7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0" s="405">
        <f>Таблица7[[#This Row],[Броня]]+Таблица7[[#This Row],[Щит]]+Таблица7[[#This Row],[навык защиты]]</f>
        <v>4</v>
      </c>
      <c r="BK170" s="1006"/>
      <c r="BL170" s="1006"/>
      <c r="BM170" s="382"/>
      <c r="BN170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70" s="382">
        <v>2</v>
      </c>
      <c r="BP170" s="382">
        <v>1</v>
      </c>
      <c r="BQ170" s="382">
        <v>-1</v>
      </c>
      <c r="BR170" s="382">
        <v>2</v>
      </c>
      <c r="BS170" s="382">
        <v>1</v>
      </c>
      <c r="BT170" s="382">
        <v>6</v>
      </c>
      <c r="BU170" s="978" t="s">
        <v>1576</v>
      </c>
      <c r="BV170" s="978" t="s">
        <v>1843</v>
      </c>
      <c r="BW170" s="382"/>
      <c r="BX170" s="382"/>
      <c r="BY170" s="382"/>
      <c r="BZ170" s="77"/>
    </row>
    <row r="171" spans="1:78" s="75" customFormat="1" ht="40.5" customHeight="1" x14ac:dyDescent="0.25">
      <c r="A171" s="333">
        <v>170</v>
      </c>
      <c r="B171" s="283" t="s">
        <v>1222</v>
      </c>
      <c r="C171" s="283"/>
      <c r="D171" s="283" t="s">
        <v>1556</v>
      </c>
      <c r="E171" s="283" t="s">
        <v>1570</v>
      </c>
      <c r="F171" s="283"/>
      <c r="G171" s="283"/>
      <c r="H171" s="283"/>
      <c r="I171" s="650">
        <v>0.75</v>
      </c>
      <c r="J171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171" s="599">
        <f>Таблица7[[#This Row],[Размер отряда минимум]]*1.25</f>
        <v>93.75</v>
      </c>
      <c r="L171" s="599">
        <f>Таблица7[[#This Row],[Размер отряда норма]]*1.5</f>
        <v>140.625</v>
      </c>
      <c r="M171" s="600">
        <f>Таблица7[[#This Row],[Размер отряда минимум]]*2.5</f>
        <v>187.5</v>
      </c>
      <c r="N171" s="600"/>
      <c r="O171" s="600"/>
      <c r="P171" s="600"/>
      <c r="Q171" s="600"/>
      <c r="R171" s="75" t="s">
        <v>9</v>
      </c>
      <c r="S171" s="957" t="s">
        <v>2882</v>
      </c>
      <c r="T171" s="283" t="s">
        <v>976</v>
      </c>
      <c r="U171" s="284" t="s">
        <v>1218</v>
      </c>
      <c r="V171" s="286"/>
      <c r="W171" s="284" t="s">
        <v>1001</v>
      </c>
      <c r="X171" s="283" t="s">
        <v>1469</v>
      </c>
      <c r="Y171" s="283"/>
      <c r="Z171" s="283" t="s">
        <v>1441</v>
      </c>
      <c r="AA171" s="283"/>
      <c r="AB171" s="283"/>
      <c r="AC171" s="283"/>
      <c r="AD171" s="284" t="s">
        <v>985</v>
      </c>
      <c r="AE171" s="284"/>
      <c r="AF171" s="283" t="s">
        <v>991</v>
      </c>
      <c r="AG171" s="283"/>
      <c r="AH171" s="283" t="s">
        <v>985</v>
      </c>
      <c r="AI171" s="283"/>
      <c r="AJ171" s="284" t="s">
        <v>985</v>
      </c>
      <c r="AK171" s="284"/>
      <c r="AL171" s="285" t="s">
        <v>985</v>
      </c>
      <c r="AM171" s="283" t="s">
        <v>978</v>
      </c>
      <c r="AN171" s="283" t="s">
        <v>1023</v>
      </c>
      <c r="AO171" s="283"/>
      <c r="AP171" s="75" t="s">
        <v>9</v>
      </c>
      <c r="AS171" s="75">
        <v>1576</v>
      </c>
      <c r="AT171" s="76"/>
      <c r="AU171" s="405">
        <v>2</v>
      </c>
      <c r="AV171" s="405" t="s">
        <v>1828</v>
      </c>
      <c r="AW171" s="405">
        <f>VLOOKUP(Таблица7[[#This Row],[Основное оружие]], Оружие[#All], 2, 0)</f>
        <v>0</v>
      </c>
      <c r="AX171" s="405">
        <f>IF(ISBLANK(Таблица7[[#This Row],[Дополнительное оружие]]),"", VLOOKUP(Таблица7[[#This Row],[Дополнительное оружие]], Оружие[#All], 2, 0))</f>
        <v>4</v>
      </c>
      <c r="AY17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7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7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171" s="405">
        <f>VLOOKUP(Таблица7[[#This Row],[Основное оружие]], Оружие[#All], 3, 0)</f>
        <v>1</v>
      </c>
      <c r="BC171" s="405">
        <f>IF(ISBLANK(Таблица7[[#This Row],[Дополнительное оружие]]),"", VLOOKUP(Таблица7[[#This Row],[Дополнительное оружие]], Оружие[#All], 3, 0))</f>
        <v>3</v>
      </c>
      <c r="BD17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7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17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7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7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1" s="405">
        <f>Таблица7[[#This Row],[Броня]]+Таблица7[[#This Row],[Щит]]+Таблица7[[#This Row],[навык защиты]]</f>
        <v>4</v>
      </c>
      <c r="BK171" s="1006"/>
      <c r="BL171" s="1006"/>
      <c r="BM171" s="382"/>
      <c r="BN171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71" s="382">
        <v>2</v>
      </c>
      <c r="BP171" s="382">
        <v>1</v>
      </c>
      <c r="BQ171" s="382">
        <v>-1</v>
      </c>
      <c r="BR171" s="382">
        <v>2</v>
      </c>
      <c r="BS171" s="382">
        <v>1</v>
      </c>
      <c r="BT171" s="382">
        <v>6</v>
      </c>
      <c r="BU171" s="978" t="s">
        <v>1576</v>
      </c>
      <c r="BV171" s="978" t="s">
        <v>1843</v>
      </c>
      <c r="BW171" s="382"/>
      <c r="BX171" s="382"/>
      <c r="BY171" s="382"/>
      <c r="BZ171" s="77"/>
    </row>
    <row r="172" spans="1:78" s="75" customFormat="1" ht="40.5" customHeight="1" x14ac:dyDescent="0.25">
      <c r="A172" s="333">
        <v>171</v>
      </c>
      <c r="B172" s="283" t="s">
        <v>1290</v>
      </c>
      <c r="C172" s="283"/>
      <c r="D172" s="283" t="s">
        <v>1555</v>
      </c>
      <c r="E172" s="283" t="s">
        <v>1547</v>
      </c>
      <c r="F172" s="283"/>
      <c r="G172" s="283"/>
      <c r="H172" s="283"/>
      <c r="I172" s="650">
        <v>0.6</v>
      </c>
      <c r="J172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172" s="599">
        <f>Таблица7[[#This Row],[Размер отряда минимум]]*1.25</f>
        <v>15</v>
      </c>
      <c r="L172" s="599">
        <f>Таблица7[[#This Row],[Размер отряда норма]]*1.5</f>
        <v>22.5</v>
      </c>
      <c r="M172" s="600">
        <f>Таблица7[[#This Row],[Размер отряда минимум]]*2.5</f>
        <v>30</v>
      </c>
      <c r="N172" s="600"/>
      <c r="O172" s="600"/>
      <c r="P172" s="600"/>
      <c r="Q172" s="600"/>
      <c r="R172" s="75" t="s">
        <v>9</v>
      </c>
      <c r="S172" s="957" t="s">
        <v>2882</v>
      </c>
      <c r="T172" s="283" t="s">
        <v>975</v>
      </c>
      <c r="U172" s="284" t="s">
        <v>1007</v>
      </c>
      <c r="V172" s="286"/>
      <c r="W172" s="283" t="s">
        <v>1001</v>
      </c>
      <c r="X172" s="283" t="s">
        <v>1528</v>
      </c>
      <c r="Y172" s="283"/>
      <c r="Z172" s="283" t="s">
        <v>1036</v>
      </c>
      <c r="AA172" s="283"/>
      <c r="AB172" s="283"/>
      <c r="AC172" s="283"/>
      <c r="AD172" s="284" t="s">
        <v>1004</v>
      </c>
      <c r="AE172" s="284"/>
      <c r="AF172" s="283" t="s">
        <v>985</v>
      </c>
      <c r="AG172" s="283"/>
      <c r="AH172" s="283" t="s">
        <v>985</v>
      </c>
      <c r="AI172" s="283"/>
      <c r="AJ172" s="283" t="s">
        <v>985</v>
      </c>
      <c r="AK172" s="283"/>
      <c r="AL172" s="285" t="s">
        <v>1163</v>
      </c>
      <c r="AM172" s="283" t="s">
        <v>935</v>
      </c>
      <c r="AN172" s="283" t="s">
        <v>952</v>
      </c>
      <c r="AO172" s="283"/>
      <c r="AP172" s="75" t="s">
        <v>9</v>
      </c>
      <c r="AR172" s="283"/>
      <c r="AS172" s="283">
        <v>1500</v>
      </c>
      <c r="AT172" s="76">
        <v>1576</v>
      </c>
      <c r="AU172" s="405">
        <v>10</v>
      </c>
      <c r="AV172" s="405"/>
      <c r="AW172" s="405">
        <f>VLOOKUP(Таблица7[[#This Row],[Основное оружие]], Оружие[#All], 2, 0)</f>
        <v>2</v>
      </c>
      <c r="AX172" s="405">
        <f>IF(ISBLANK(Таблица7[[#This Row],[Дополнительное оружие]]),"", VLOOKUP(Таблица7[[#This Row],[Дополнительное оружие]], Оружие[#All], 2, 0))</f>
        <v>5</v>
      </c>
      <c r="AY17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7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7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172" s="405">
        <f>VLOOKUP(Таблица7[[#This Row],[Основное оружие]], Оружие[#All], 3, 0)</f>
        <v>6</v>
      </c>
      <c r="BC172" s="405">
        <f>IF(ISBLANK(Таблица7[[#This Row],[Дополнительное оружие]]),"", VLOOKUP(Таблица7[[#This Row],[Дополнительное оружие]], Оружие[#All], 3, 0))</f>
        <v>3</v>
      </c>
      <c r="BD17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17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7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7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7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2" s="405">
        <f>Таблица7[[#This Row],[Броня]]+Таблица7[[#This Row],[Щит]]+Таблица7[[#This Row],[навык защиты]]</f>
        <v>29</v>
      </c>
      <c r="BK172" s="1006"/>
      <c r="BL172" s="1006"/>
      <c r="BM172" s="382"/>
      <c r="BN172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72" s="382">
        <v>2</v>
      </c>
      <c r="BP172" s="382">
        <v>-2</v>
      </c>
      <c r="BQ172" s="382">
        <v>0</v>
      </c>
      <c r="BR172" s="382">
        <v>-4</v>
      </c>
      <c r="BS172" s="382">
        <v>-2</v>
      </c>
      <c r="BT172" s="382">
        <v>11</v>
      </c>
      <c r="BU172" s="978" t="s">
        <v>1840</v>
      </c>
      <c r="BV172" s="978" t="s">
        <v>1844</v>
      </c>
      <c r="BW172" s="382"/>
      <c r="BX172" s="382"/>
      <c r="BY172" s="382"/>
      <c r="BZ172" s="77"/>
    </row>
    <row r="173" spans="1:78" s="75" customFormat="1" ht="40.5" customHeight="1" x14ac:dyDescent="0.25">
      <c r="A173" s="333">
        <v>172</v>
      </c>
      <c r="B173" s="283" t="s">
        <v>1290</v>
      </c>
      <c r="C173" s="283"/>
      <c r="D173" s="283" t="s">
        <v>1555</v>
      </c>
      <c r="E173" s="283" t="s">
        <v>1547</v>
      </c>
      <c r="F173" s="283"/>
      <c r="G173" s="283"/>
      <c r="H173" s="283"/>
      <c r="I173" s="650">
        <v>0.6</v>
      </c>
      <c r="J173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14.399999999999999</v>
      </c>
      <c r="K173" s="599">
        <f>Таблица7[[#This Row],[Размер отряда минимум]]*1.25</f>
        <v>18</v>
      </c>
      <c r="L173" s="599">
        <f>Таблица7[[#This Row],[Размер отряда норма]]*1.5</f>
        <v>27</v>
      </c>
      <c r="M173" s="600">
        <f>Таблица7[[#This Row],[Размер отряда минимум]]*2.5</f>
        <v>36</v>
      </c>
      <c r="N173" s="600"/>
      <c r="O173" s="600"/>
      <c r="P173" s="600"/>
      <c r="Q173" s="600"/>
      <c r="R173" s="75" t="s">
        <v>9</v>
      </c>
      <c r="S173" s="957" t="s">
        <v>2882</v>
      </c>
      <c r="T173" s="283" t="s">
        <v>976</v>
      </c>
      <c r="U173" s="284" t="s">
        <v>1007</v>
      </c>
      <c r="V173" s="286"/>
      <c r="W173" s="284" t="s">
        <v>1001</v>
      </c>
      <c r="X173" s="283" t="s">
        <v>1528</v>
      </c>
      <c r="Y173" s="283"/>
      <c r="Z173" s="283" t="s">
        <v>1511</v>
      </c>
      <c r="AA173" s="283"/>
      <c r="AB173" s="283"/>
      <c r="AC173" s="283"/>
      <c r="AD173" s="284" t="s">
        <v>1005</v>
      </c>
      <c r="AE173" s="284"/>
      <c r="AF173" s="283" t="s">
        <v>985</v>
      </c>
      <c r="AG173" s="283"/>
      <c r="AH173" s="283" t="s">
        <v>985</v>
      </c>
      <c r="AI173" s="283"/>
      <c r="AJ173" s="283" t="s">
        <v>985</v>
      </c>
      <c r="AK173" s="283"/>
      <c r="AL173" s="285" t="s">
        <v>985</v>
      </c>
      <c r="AM173" s="283" t="s">
        <v>935</v>
      </c>
      <c r="AN173" s="283" t="s">
        <v>952</v>
      </c>
      <c r="AO173" s="283"/>
      <c r="AP173" s="75" t="s">
        <v>9</v>
      </c>
      <c r="AR173" s="283"/>
      <c r="AS173" s="283">
        <v>1576</v>
      </c>
      <c r="AT173" s="76"/>
      <c r="AU173" s="405">
        <v>10</v>
      </c>
      <c r="AV173" s="405"/>
      <c r="AW173" s="405">
        <f>VLOOKUP(Таблица7[[#This Row],[Основное оружие]], Оружие[#All], 2, 0)</f>
        <v>2</v>
      </c>
      <c r="AX173" s="405">
        <f>IF(ISBLANK(Таблица7[[#This Row],[Дополнительное оружие]]),"", VLOOKUP(Таблица7[[#This Row],[Дополнительное оружие]], Оружие[#All], 2, 0))</f>
        <v>3</v>
      </c>
      <c r="AY17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7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7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73" s="405">
        <f>VLOOKUP(Таблица7[[#This Row],[Основное оружие]], Оружие[#All], 3, 0)</f>
        <v>6</v>
      </c>
      <c r="BC173" s="405">
        <f>IF(ISBLANK(Таблица7[[#This Row],[Дополнительное оружие]]),"", VLOOKUP(Таблица7[[#This Row],[Дополнительное оружие]], Оружие[#All], 3, 0))</f>
        <v>3</v>
      </c>
      <c r="BD17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17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7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7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7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3" s="405">
        <f>Таблица7[[#This Row],[Броня]]+Таблица7[[#This Row],[Щит]]+Таблица7[[#This Row],[навык защиты]]</f>
        <v>28</v>
      </c>
      <c r="BK173" s="1006"/>
      <c r="BL173" s="1006"/>
      <c r="BM173" s="382"/>
      <c r="BN173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73" s="382">
        <v>2</v>
      </c>
      <c r="BP173" s="382">
        <v>-2</v>
      </c>
      <c r="BQ173" s="382">
        <v>0</v>
      </c>
      <c r="BR173" s="382">
        <v>-4</v>
      </c>
      <c r="BS173" s="382">
        <v>-2</v>
      </c>
      <c r="BT173" s="382">
        <v>11</v>
      </c>
      <c r="BU173" s="978" t="s">
        <v>1840</v>
      </c>
      <c r="BV173" s="978" t="s">
        <v>1844</v>
      </c>
      <c r="BW173" s="382"/>
      <c r="BX173" s="382"/>
      <c r="BY173" s="382"/>
      <c r="BZ173" s="77"/>
    </row>
    <row r="174" spans="1:78" s="78" customFormat="1" ht="40.5" customHeight="1" x14ac:dyDescent="0.25">
      <c r="A174" s="333">
        <v>173</v>
      </c>
      <c r="B174" s="522" t="s">
        <v>1623</v>
      </c>
      <c r="C174" s="522"/>
      <c r="D174" s="522" t="s">
        <v>1556</v>
      </c>
      <c r="E174" s="78" t="s">
        <v>1448</v>
      </c>
      <c r="I174" s="651">
        <v>0.75</v>
      </c>
      <c r="J174" s="60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174" s="601">
        <f>Таблица7[[#This Row],[Размер отряда минимум]]*1.25</f>
        <v>84.375</v>
      </c>
      <c r="L174" s="601">
        <f>Таблица7[[#This Row],[Размер отряда норма]]*1.5</f>
        <v>126.5625</v>
      </c>
      <c r="M174" s="602">
        <f>Таблица7[[#This Row],[Размер отряда минимум]]*2.5</f>
        <v>168.75</v>
      </c>
      <c r="N174" s="602"/>
      <c r="O174" s="602"/>
      <c r="P174" s="602"/>
      <c r="Q174" s="602"/>
      <c r="R174" s="522" t="s">
        <v>10</v>
      </c>
      <c r="S174" s="958" t="s">
        <v>2883</v>
      </c>
      <c r="T174" s="522" t="s">
        <v>975</v>
      </c>
      <c r="U174" s="529" t="s">
        <v>1224</v>
      </c>
      <c r="V174" s="524"/>
      <c r="W174" s="529" t="s">
        <v>1001</v>
      </c>
      <c r="X174" s="522" t="s">
        <v>996</v>
      </c>
      <c r="Y174" s="522"/>
      <c r="AD174" s="529" t="s">
        <v>1158</v>
      </c>
      <c r="AE174" s="529"/>
      <c r="AF174" s="522" t="s">
        <v>1211</v>
      </c>
      <c r="AG174" s="522"/>
      <c r="AH174" s="522" t="s">
        <v>985</v>
      </c>
      <c r="AI174" s="522"/>
      <c r="AJ174" s="529" t="s">
        <v>985</v>
      </c>
      <c r="AK174" s="529"/>
      <c r="AL174" s="523" t="s">
        <v>985</v>
      </c>
      <c r="AM174" s="522" t="s">
        <v>935</v>
      </c>
      <c r="AN174" s="522" t="s">
        <v>997</v>
      </c>
      <c r="AO174" s="522"/>
      <c r="AP174" s="522" t="s">
        <v>10</v>
      </c>
      <c r="AQ174" s="522"/>
      <c r="AS174" s="78">
        <v>1500</v>
      </c>
      <c r="AT174" s="79">
        <v>1550</v>
      </c>
      <c r="AU174" s="405">
        <v>8</v>
      </c>
      <c r="AV174" s="405"/>
      <c r="AW174" s="405">
        <f>VLOOKUP(Таблица7[[#This Row],[Основное оружие]], Оружие[#All], 2, 0)</f>
        <v>7</v>
      </c>
      <c r="AX174" s="405" t="str">
        <f>IF(ISBLANK(Таблица7[[#This Row],[Дополнительное оружие]]),"", VLOOKUP(Таблица7[[#This Row],[Дополнительное оружие]], Оружие[#All], 2, 0))</f>
        <v/>
      </c>
      <c r="AY17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7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17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74" s="405">
        <f>VLOOKUP(Таблица7[[#This Row],[Основное оружие]], Оружие[#All], 3, 0)</f>
        <v>3</v>
      </c>
      <c r="BC174" s="405" t="str">
        <f>IF(ISBLANK(Таблица7[[#This Row],[Дополнительное оружие]]),"", VLOOKUP(Таблица7[[#This Row],[Дополнительное оружие]], Оружие[#All], 3, 0))</f>
        <v/>
      </c>
      <c r="BD17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17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17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7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17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4" s="405">
        <f>Таблица7[[#This Row],[Броня]]+Таблица7[[#This Row],[Щит]]+Таблица7[[#This Row],[навык защиты]]</f>
        <v>21</v>
      </c>
      <c r="BK174" s="1006"/>
      <c r="BL174" s="1006"/>
      <c r="BM174" s="383"/>
      <c r="BN174" s="97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74" s="383">
        <v>1</v>
      </c>
      <c r="BP174" s="383">
        <v>0</v>
      </c>
      <c r="BQ174" s="383">
        <v>0</v>
      </c>
      <c r="BR174" s="383">
        <v>-1</v>
      </c>
      <c r="BS174" s="383">
        <v>0</v>
      </c>
      <c r="BT174" s="383">
        <v>10</v>
      </c>
      <c r="BU174" s="979" t="s">
        <v>1840</v>
      </c>
      <c r="BV174" s="979" t="s">
        <v>1844</v>
      </c>
      <c r="BW174" s="383"/>
      <c r="BX174" s="383"/>
      <c r="BY174" s="383"/>
      <c r="BZ174" s="80"/>
    </row>
    <row r="175" spans="1:78" s="78" customFormat="1" ht="40.5" customHeight="1" x14ac:dyDescent="0.25">
      <c r="A175" s="333">
        <v>174</v>
      </c>
      <c r="B175" s="522" t="s">
        <v>1629</v>
      </c>
      <c r="C175" s="522"/>
      <c r="D175" s="522" t="s">
        <v>1556</v>
      </c>
      <c r="E175" s="78" t="s">
        <v>1448</v>
      </c>
      <c r="I175" s="651">
        <v>0.75</v>
      </c>
      <c r="J175" s="60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175" s="601">
        <f>Таблица7[[#This Row],[Размер отряда минимум]]*1.25</f>
        <v>93.75</v>
      </c>
      <c r="L175" s="601">
        <f>Таблица7[[#This Row],[Размер отряда норма]]*1.5</f>
        <v>140.625</v>
      </c>
      <c r="M175" s="602">
        <f>Таблица7[[#This Row],[Размер отряда минимум]]*2.5</f>
        <v>187.5</v>
      </c>
      <c r="N175" s="602"/>
      <c r="O175" s="602"/>
      <c r="P175" s="602"/>
      <c r="Q175" s="602"/>
      <c r="R175" s="78" t="s">
        <v>10</v>
      </c>
      <c r="S175" s="958" t="s">
        <v>2883</v>
      </c>
      <c r="T175" s="522" t="s">
        <v>976</v>
      </c>
      <c r="U175" s="529" t="s">
        <v>1630</v>
      </c>
      <c r="V175" s="524"/>
      <c r="W175" s="529" t="s">
        <v>1001</v>
      </c>
      <c r="X175" s="522" t="s">
        <v>1098</v>
      </c>
      <c r="Y175" s="522"/>
      <c r="AD175" s="529" t="s">
        <v>1158</v>
      </c>
      <c r="AE175" s="529"/>
      <c r="AF175" s="522" t="s">
        <v>1211</v>
      </c>
      <c r="AG175" s="522"/>
      <c r="AH175" s="522" t="s">
        <v>985</v>
      </c>
      <c r="AI175" s="522"/>
      <c r="AJ175" s="529" t="s">
        <v>985</v>
      </c>
      <c r="AK175" s="529"/>
      <c r="AL175" s="523" t="s">
        <v>985</v>
      </c>
      <c r="AM175" s="522" t="s">
        <v>935</v>
      </c>
      <c r="AN175" s="522" t="s">
        <v>997</v>
      </c>
      <c r="AO175" s="522"/>
      <c r="AP175" s="522" t="s">
        <v>10</v>
      </c>
      <c r="AQ175" s="522"/>
      <c r="AS175" s="78">
        <v>1550</v>
      </c>
      <c r="AT175" s="79"/>
      <c r="AU175" s="405">
        <v>8</v>
      </c>
      <c r="AV175" s="405"/>
      <c r="AW175" s="405">
        <f>VLOOKUP(Таблица7[[#This Row],[Основное оружие]], Оружие[#All], 2, 0)</f>
        <v>3</v>
      </c>
      <c r="AX175" s="405" t="str">
        <f>IF(ISBLANK(Таблица7[[#This Row],[Дополнительное оружие]]),"", VLOOKUP(Таблица7[[#This Row],[Дополнительное оружие]], Оружие[#All], 2, 0))</f>
        <v/>
      </c>
      <c r="AY17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7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7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75" s="405">
        <f>VLOOKUP(Таблица7[[#This Row],[Основное оружие]], Оружие[#All], 3, 0)</f>
        <v>3</v>
      </c>
      <c r="BC175" s="405" t="str">
        <f>IF(ISBLANK(Таблица7[[#This Row],[Дополнительное оружие]]),"", VLOOKUP(Таблица7[[#This Row],[Дополнительное оружие]], Оружие[#All], 3, 0))</f>
        <v/>
      </c>
      <c r="BD17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17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17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7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17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5" s="405">
        <f>Таблица7[[#This Row],[Броня]]+Таблица7[[#This Row],[Щит]]+Таблица7[[#This Row],[навык защиты]]</f>
        <v>21</v>
      </c>
      <c r="BK175" s="1006"/>
      <c r="BL175" s="1006"/>
      <c r="BM175" s="383"/>
      <c r="BN175" s="97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75" s="383">
        <v>1</v>
      </c>
      <c r="BP175" s="383">
        <v>0</v>
      </c>
      <c r="BQ175" s="383">
        <v>0</v>
      </c>
      <c r="BR175" s="383">
        <v>-1</v>
      </c>
      <c r="BS175" s="383">
        <v>0</v>
      </c>
      <c r="BT175" s="383">
        <v>10</v>
      </c>
      <c r="BU175" s="979" t="s">
        <v>1840</v>
      </c>
      <c r="BV175" s="979" t="s">
        <v>1844</v>
      </c>
      <c r="BW175" s="383"/>
      <c r="BX175" s="383"/>
      <c r="BY175" s="383"/>
      <c r="BZ175" s="80"/>
    </row>
    <row r="176" spans="1:78" s="78" customFormat="1" ht="40.5" customHeight="1" x14ac:dyDescent="0.25">
      <c r="A176" s="333">
        <v>175</v>
      </c>
      <c r="B176" s="522" t="s">
        <v>1625</v>
      </c>
      <c r="C176" s="522"/>
      <c r="D176" s="522" t="s">
        <v>1556</v>
      </c>
      <c r="E176" s="78" t="s">
        <v>1547</v>
      </c>
      <c r="I176" s="651">
        <v>0.5</v>
      </c>
      <c r="J176" s="60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176" s="601">
        <f>Таблица7[[#This Row],[Размер отряда минимум]]*1.25</f>
        <v>50</v>
      </c>
      <c r="L176" s="601">
        <f>Таблица7[[#This Row],[Размер отряда норма]]*1.5</f>
        <v>75</v>
      </c>
      <c r="M176" s="602">
        <f>Таблица7[[#This Row],[Размер отряда минимум]]*2.5</f>
        <v>100</v>
      </c>
      <c r="N176" s="602"/>
      <c r="O176" s="602"/>
      <c r="P176" s="602"/>
      <c r="Q176" s="602"/>
      <c r="R176" s="78" t="s">
        <v>10</v>
      </c>
      <c r="S176" s="958" t="s">
        <v>2883</v>
      </c>
      <c r="T176" s="522" t="s">
        <v>975</v>
      </c>
      <c r="U176" s="529" t="s">
        <v>1631</v>
      </c>
      <c r="V176" s="524"/>
      <c r="W176" s="522" t="s">
        <v>1001</v>
      </c>
      <c r="X176" s="522" t="s">
        <v>987</v>
      </c>
      <c r="Y176" s="522"/>
      <c r="AD176" s="794" t="s">
        <v>1482</v>
      </c>
      <c r="AE176" s="794"/>
      <c r="AF176" s="78" t="s">
        <v>1481</v>
      </c>
      <c r="AH176" s="522" t="s">
        <v>985</v>
      </c>
      <c r="AI176" s="522"/>
      <c r="AJ176" s="529" t="s">
        <v>1004</v>
      </c>
      <c r="AK176" s="529"/>
      <c r="AL176" s="523" t="s">
        <v>985</v>
      </c>
      <c r="AM176" s="522" t="s">
        <v>977</v>
      </c>
      <c r="AN176" s="522" t="s">
        <v>997</v>
      </c>
      <c r="AO176" s="522"/>
      <c r="AP176" s="522" t="s">
        <v>10</v>
      </c>
      <c r="AQ176" s="522"/>
      <c r="AS176" s="78">
        <v>1500</v>
      </c>
      <c r="AT176" s="79">
        <v>1550</v>
      </c>
      <c r="AU176" s="405">
        <v>10</v>
      </c>
      <c r="AV176" s="405"/>
      <c r="AW176" s="405">
        <f>VLOOKUP(Таблица7[[#This Row],[Основное оружие]], Оружие[#All], 2, 0)</f>
        <v>8</v>
      </c>
      <c r="AX176" s="405" t="str">
        <f>IF(ISBLANK(Таблица7[[#This Row],[Дополнительное оружие]]),"", VLOOKUP(Таблица7[[#This Row],[Дополнительное оружие]], Оружие[#All], 2, 0))</f>
        <v/>
      </c>
      <c r="AY17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7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17</v>
      </c>
      <c r="BA17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76" s="405">
        <f>VLOOKUP(Таблица7[[#This Row],[Основное оружие]], Оружие[#All], 3, 0)</f>
        <v>8</v>
      </c>
      <c r="BC176" s="405" t="str">
        <f>IF(ISBLANK(Таблица7[[#This Row],[Дополнительное оружие]]),"", VLOOKUP(Таблица7[[#This Row],[Дополнительное оружие]], Оружие[#All], 3, 0))</f>
        <v/>
      </c>
      <c r="BD17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7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17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6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17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10</v>
      </c>
      <c r="BI17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6" s="405">
        <f>Таблица7[[#This Row],[Броня]]+Таблица7[[#This Row],[Щит]]+Таблица7[[#This Row],[навык защиты]]</f>
        <v>28</v>
      </c>
      <c r="BK176" s="1006"/>
      <c r="BL176" s="1010" t="s">
        <v>1585</v>
      </c>
      <c r="BM176" s="383"/>
      <c r="BN176" s="97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76" s="383">
        <v>1</v>
      </c>
      <c r="BP176" s="383">
        <v>0</v>
      </c>
      <c r="BQ176" s="383">
        <v>0</v>
      </c>
      <c r="BR176" s="383">
        <v>0</v>
      </c>
      <c r="BS176" s="383">
        <v>0</v>
      </c>
      <c r="BT176" s="383">
        <v>12</v>
      </c>
      <c r="BU176" s="979" t="s">
        <v>1840</v>
      </c>
      <c r="BV176" s="979" t="s">
        <v>1844</v>
      </c>
      <c r="BW176" s="383"/>
      <c r="BX176" s="383"/>
      <c r="BY176" s="383"/>
      <c r="BZ176" s="80"/>
    </row>
    <row r="177" spans="1:78" s="78" customFormat="1" ht="40.5" customHeight="1" x14ac:dyDescent="0.25">
      <c r="A177" s="333">
        <v>176</v>
      </c>
      <c r="B177" s="522" t="s">
        <v>1625</v>
      </c>
      <c r="C177" s="522"/>
      <c r="D177" s="522" t="s">
        <v>1556</v>
      </c>
      <c r="E177" s="78" t="s">
        <v>1547</v>
      </c>
      <c r="I177" s="651">
        <v>0.5</v>
      </c>
      <c r="J177" s="60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45</v>
      </c>
      <c r="K177" s="601">
        <f>Таблица7[[#This Row],[Размер отряда минимум]]*1.25</f>
        <v>56.25</v>
      </c>
      <c r="L177" s="601">
        <f>Таблица7[[#This Row],[Размер отряда норма]]*1.5</f>
        <v>84.375</v>
      </c>
      <c r="M177" s="602">
        <f>Таблица7[[#This Row],[Размер отряда минимум]]*2.5</f>
        <v>112.5</v>
      </c>
      <c r="N177" s="602"/>
      <c r="O177" s="602"/>
      <c r="P177" s="602"/>
      <c r="Q177" s="602"/>
      <c r="R177" s="78" t="s">
        <v>10</v>
      </c>
      <c r="S177" s="958" t="s">
        <v>2883</v>
      </c>
      <c r="T177" s="522" t="s">
        <v>976</v>
      </c>
      <c r="U177" s="529" t="s">
        <v>1631</v>
      </c>
      <c r="V177" s="524"/>
      <c r="W177" s="522" t="s">
        <v>1001</v>
      </c>
      <c r="X177" s="522" t="s">
        <v>987</v>
      </c>
      <c r="Y177" s="522"/>
      <c r="AD177" s="794" t="s">
        <v>1482</v>
      </c>
      <c r="AE177" s="794"/>
      <c r="AF177" s="78" t="s">
        <v>1481</v>
      </c>
      <c r="AH177" s="522" t="s">
        <v>985</v>
      </c>
      <c r="AI177" s="522"/>
      <c r="AJ177" s="529" t="s">
        <v>1005</v>
      </c>
      <c r="AK177" s="529"/>
      <c r="AL177" s="523" t="s">
        <v>985</v>
      </c>
      <c r="AM177" s="522" t="s">
        <v>977</v>
      </c>
      <c r="AN177" s="522" t="s">
        <v>997</v>
      </c>
      <c r="AO177" s="522"/>
      <c r="AP177" s="522" t="s">
        <v>10</v>
      </c>
      <c r="AQ177" s="522"/>
      <c r="AS177" s="78">
        <v>1550</v>
      </c>
      <c r="AT177" s="79"/>
      <c r="AU177" s="405">
        <v>10</v>
      </c>
      <c r="AV177" s="405"/>
      <c r="AW177" s="405">
        <f>VLOOKUP(Таблица7[[#This Row],[Основное оружие]], Оружие[#All], 2, 0)</f>
        <v>8</v>
      </c>
      <c r="AX177" s="405" t="str">
        <f>IF(ISBLANK(Таблица7[[#This Row],[Дополнительное оружие]]),"", VLOOKUP(Таблица7[[#This Row],[Дополнительное оружие]], Оружие[#All], 2, 0))</f>
        <v/>
      </c>
      <c r="AY17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7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17</v>
      </c>
      <c r="BA17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77" s="405">
        <f>VLOOKUP(Таблица7[[#This Row],[Основное оружие]], Оружие[#All], 3, 0)</f>
        <v>8</v>
      </c>
      <c r="BC177" s="405" t="str">
        <f>IF(ISBLANK(Таблица7[[#This Row],[Дополнительное оружие]]),"", VLOOKUP(Таблица7[[#This Row],[Дополнительное оружие]], Оружие[#All], 3, 0))</f>
        <v/>
      </c>
      <c r="BD17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17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17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7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23</v>
      </c>
      <c r="BH17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10</v>
      </c>
      <c r="BI17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7" s="405">
        <f>Таблица7[[#This Row],[Броня]]+Таблица7[[#This Row],[Щит]]+Таблица7[[#This Row],[навык защиты]]</f>
        <v>28</v>
      </c>
      <c r="BK177" s="1006"/>
      <c r="BL177" s="1010" t="s">
        <v>1585</v>
      </c>
      <c r="BM177" s="383"/>
      <c r="BN177" s="97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77" s="383">
        <v>1</v>
      </c>
      <c r="BP177" s="383">
        <v>0</v>
      </c>
      <c r="BQ177" s="383">
        <v>0</v>
      </c>
      <c r="BR177" s="383">
        <v>0</v>
      </c>
      <c r="BS177" s="383">
        <v>0</v>
      </c>
      <c r="BT177" s="383">
        <v>12</v>
      </c>
      <c r="BU177" s="979" t="s">
        <v>1840</v>
      </c>
      <c r="BV177" s="979" t="s">
        <v>1844</v>
      </c>
      <c r="BW177" s="383"/>
      <c r="BX177" s="383"/>
      <c r="BY177" s="383"/>
      <c r="BZ177" s="80"/>
    </row>
    <row r="178" spans="1:78" s="78" customFormat="1" ht="40.5" customHeight="1" x14ac:dyDescent="0.25">
      <c r="A178" s="333">
        <v>177</v>
      </c>
      <c r="B178" s="522" t="s">
        <v>1626</v>
      </c>
      <c r="C178" s="522"/>
      <c r="D178" s="268" t="s">
        <v>1556</v>
      </c>
      <c r="E178" s="268" t="s">
        <v>1570</v>
      </c>
      <c r="F178" s="268"/>
      <c r="G178" s="268"/>
      <c r="H178" s="268"/>
      <c r="I178" s="651">
        <v>0.75</v>
      </c>
      <c r="J178" s="60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178" s="601">
        <f>Таблица7[[#This Row],[Размер отряда минимум]]*1.25</f>
        <v>93.75</v>
      </c>
      <c r="L178" s="601">
        <f>Таблица7[[#This Row],[Размер отряда норма]]*1.5</f>
        <v>140.625</v>
      </c>
      <c r="M178" s="602">
        <f>Таблица7[[#This Row],[Размер отряда минимум]]*2.5</f>
        <v>187.5</v>
      </c>
      <c r="N178" s="602"/>
      <c r="O178" s="602"/>
      <c r="P178" s="602"/>
      <c r="Q178" s="602"/>
      <c r="R178" s="78" t="s">
        <v>10</v>
      </c>
      <c r="S178" s="958" t="s">
        <v>2883</v>
      </c>
      <c r="T178" s="268" t="s">
        <v>1032</v>
      </c>
      <c r="U178" s="529" t="s">
        <v>1627</v>
      </c>
      <c r="V178" s="524"/>
      <c r="W178" s="529" t="s">
        <v>1001</v>
      </c>
      <c r="X178" s="522" t="s">
        <v>1469</v>
      </c>
      <c r="Y178" s="522"/>
      <c r="Z178" s="78" t="s">
        <v>1098</v>
      </c>
      <c r="AD178" s="529" t="s">
        <v>985</v>
      </c>
      <c r="AE178" s="529"/>
      <c r="AF178" s="522" t="s">
        <v>991</v>
      </c>
      <c r="AG178" s="522"/>
      <c r="AH178" s="522" t="s">
        <v>985</v>
      </c>
      <c r="AI178" s="522"/>
      <c r="AJ178" s="529" t="s">
        <v>985</v>
      </c>
      <c r="AK178" s="529"/>
      <c r="AL178" s="523" t="s">
        <v>985</v>
      </c>
      <c r="AM178" s="927" t="s">
        <v>935</v>
      </c>
      <c r="AN178" s="522" t="s">
        <v>964</v>
      </c>
      <c r="AO178" s="522"/>
      <c r="AP178" s="522" t="s">
        <v>10</v>
      </c>
      <c r="AQ178" s="522"/>
      <c r="AS178" s="78">
        <v>1500</v>
      </c>
      <c r="AT178" s="79"/>
      <c r="AU178" s="405">
        <v>5</v>
      </c>
      <c r="AV178" s="405" t="s">
        <v>1828</v>
      </c>
      <c r="AW178" s="405">
        <f>VLOOKUP(Таблица7[[#This Row],[Основное оружие]], Оружие[#All], 2, 0)</f>
        <v>0</v>
      </c>
      <c r="AX178" s="405">
        <f>IF(ISBLANK(Таблица7[[#This Row],[Дополнительное оружие]]),"", VLOOKUP(Таблица7[[#This Row],[Дополнительное оружие]], Оружие[#All], 2, 0))</f>
        <v>3</v>
      </c>
      <c r="AY17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7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7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78" s="405">
        <f>VLOOKUP(Таблица7[[#This Row],[Основное оружие]], Оружие[#All], 3, 0)</f>
        <v>1</v>
      </c>
      <c r="BC178" s="405">
        <f>IF(ISBLANK(Таблица7[[#This Row],[Дополнительное оружие]]),"", VLOOKUP(Таблица7[[#This Row],[Дополнительное оружие]], Оружие[#All], 3, 0))</f>
        <v>3</v>
      </c>
      <c r="BD17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7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17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7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7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8" s="405">
        <f>Таблица7[[#This Row],[Броня]]+Таблица7[[#This Row],[Щит]]+Таблица7[[#This Row],[навык защиты]]</f>
        <v>7</v>
      </c>
      <c r="BK178" s="1006"/>
      <c r="BL178" s="1006"/>
      <c r="BM178" s="383"/>
      <c r="BN178" s="97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78" s="383">
        <v>1</v>
      </c>
      <c r="BP178" s="383">
        <v>1</v>
      </c>
      <c r="BQ178" s="383">
        <v>0</v>
      </c>
      <c r="BR178" s="383">
        <v>2</v>
      </c>
      <c r="BS178" s="383">
        <v>0</v>
      </c>
      <c r="BT178" s="383">
        <v>7</v>
      </c>
      <c r="BU178" s="979" t="s">
        <v>1840</v>
      </c>
      <c r="BV178" s="979" t="s">
        <v>1844</v>
      </c>
      <c r="BW178" s="383"/>
      <c r="BX178" s="383"/>
      <c r="BY178" s="383"/>
      <c r="BZ178" s="80"/>
    </row>
    <row r="179" spans="1:78" s="78" customFormat="1" ht="40.5" customHeight="1" x14ac:dyDescent="0.25">
      <c r="A179" s="333">
        <v>178</v>
      </c>
      <c r="B179" s="297" t="s">
        <v>1289</v>
      </c>
      <c r="C179" s="297"/>
      <c r="D179" s="268" t="s">
        <v>1556</v>
      </c>
      <c r="E179" s="268" t="s">
        <v>1571</v>
      </c>
      <c r="F179" s="268"/>
      <c r="G179" s="268"/>
      <c r="H179" s="268"/>
      <c r="I179" s="651">
        <v>0.3</v>
      </c>
      <c r="J179" s="60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179" s="601">
        <f>Таблица7[[#This Row],[Размер отряда минимум]]*1.25</f>
        <v>37.5</v>
      </c>
      <c r="L179" s="601">
        <f>Таблица7[[#This Row],[Размер отряда норма]]*1.5</f>
        <v>56.25</v>
      </c>
      <c r="M179" s="602">
        <f>Таблица7[[#This Row],[Размер отряда минимум]]*2.5</f>
        <v>75</v>
      </c>
      <c r="N179" s="602"/>
      <c r="O179" s="602"/>
      <c r="P179" s="602"/>
      <c r="Q179" s="602"/>
      <c r="R179" s="78" t="s">
        <v>10</v>
      </c>
      <c r="S179" s="958" t="s">
        <v>2883</v>
      </c>
      <c r="T179" s="268" t="s">
        <v>1032</v>
      </c>
      <c r="U179" s="529" t="s">
        <v>1628</v>
      </c>
      <c r="V179" s="524"/>
      <c r="W179" s="81" t="s">
        <v>1001</v>
      </c>
      <c r="X179" s="81" t="s">
        <v>1685</v>
      </c>
      <c r="Y179" s="81"/>
      <c r="Z179" s="81" t="s">
        <v>1036</v>
      </c>
      <c r="AA179" s="81"/>
      <c r="AB179" s="81"/>
      <c r="AC179" s="81"/>
      <c r="AD179" s="795" t="s">
        <v>1488</v>
      </c>
      <c r="AE179" s="795"/>
      <c r="AF179" s="160" t="s">
        <v>985</v>
      </c>
      <c r="AG179" s="160"/>
      <c r="AH179" s="365" t="s">
        <v>985</v>
      </c>
      <c r="AI179" s="365"/>
      <c r="AJ179" s="177" t="s">
        <v>1486</v>
      </c>
      <c r="AK179" s="177"/>
      <c r="AL179" s="523" t="s">
        <v>985</v>
      </c>
      <c r="AM179" s="81" t="s">
        <v>977</v>
      </c>
      <c r="AN179" s="82" t="s">
        <v>979</v>
      </c>
      <c r="AO179" s="82"/>
      <c r="AP179" s="78" t="s">
        <v>10</v>
      </c>
      <c r="AS179" s="78">
        <v>1500</v>
      </c>
      <c r="AT179" s="79"/>
      <c r="AU179" s="405">
        <v>5</v>
      </c>
      <c r="AV179" s="405" t="s">
        <v>1827</v>
      </c>
      <c r="AW179" s="405">
        <f>VLOOKUP(Таблица7[[#This Row],[Основное оружие]], Оружие[#All], 2, 0)</f>
        <v>0</v>
      </c>
      <c r="AX179" s="405">
        <f>IF(ISBLANK(Таблица7[[#This Row],[Дополнительное оружие]]),"", VLOOKUP(Таблица7[[#This Row],[Дополнительное оружие]], Оружие[#All], 2, 0))</f>
        <v>5</v>
      </c>
      <c r="AY17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17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7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79" s="405">
        <f>VLOOKUP(Таблица7[[#This Row],[Основное оружие]], Оружие[#All], 3, 0)</f>
        <v>1</v>
      </c>
      <c r="BC179" s="405">
        <f>IF(ISBLANK(Таблица7[[#This Row],[Дополнительное оружие]]),"", VLOOKUP(Таблица7[[#This Row],[Дополнительное оружие]], Оружие[#All], 3, 0))</f>
        <v>3</v>
      </c>
      <c r="BD17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3</v>
      </c>
      <c r="BE17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7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79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17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7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79" s="405">
        <f>Таблица7[[#This Row],[Броня]]+Таблица7[[#This Row],[Щит]]+Таблица7[[#This Row],[навык защиты]]</f>
        <v>8</v>
      </c>
      <c r="BK179" s="1006"/>
      <c r="BL179" s="1006"/>
      <c r="BM179" s="383"/>
      <c r="BN179" s="97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79" s="383">
        <v>1</v>
      </c>
      <c r="BP179" s="383">
        <v>1</v>
      </c>
      <c r="BQ179" s="383">
        <v>0</v>
      </c>
      <c r="BR179" s="383">
        <v>2</v>
      </c>
      <c r="BS179" s="383">
        <v>0</v>
      </c>
      <c r="BT179" s="383">
        <v>10</v>
      </c>
      <c r="BU179" s="979" t="s">
        <v>1840</v>
      </c>
      <c r="BV179" s="979" t="s">
        <v>1844</v>
      </c>
      <c r="BW179" s="383"/>
      <c r="BX179" s="383"/>
      <c r="BY179" s="383"/>
      <c r="BZ179" s="80"/>
    </row>
    <row r="180" spans="1:78" s="78" customFormat="1" ht="40.5" customHeight="1" x14ac:dyDescent="0.25">
      <c r="A180" s="333">
        <v>179</v>
      </c>
      <c r="B180" s="522" t="s">
        <v>1624</v>
      </c>
      <c r="C180" s="522"/>
      <c r="D180" s="522" t="s">
        <v>1555</v>
      </c>
      <c r="E180" s="81" t="s">
        <v>1547</v>
      </c>
      <c r="F180" s="81"/>
      <c r="G180" s="81"/>
      <c r="H180" s="81"/>
      <c r="I180" s="651">
        <v>0.5</v>
      </c>
      <c r="J180" s="60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180" s="601">
        <f>Таблица7[[#This Row],[Размер отряда минимум]]*1.25</f>
        <v>12.5</v>
      </c>
      <c r="L180" s="601">
        <f>Таблица7[[#This Row],[Размер отряда норма]]*1.5</f>
        <v>18.75</v>
      </c>
      <c r="M180" s="602">
        <f>Таблица7[[#This Row],[Размер отряда минимум]]*2.5</f>
        <v>25</v>
      </c>
      <c r="N180" s="602"/>
      <c r="O180" s="602"/>
      <c r="P180" s="602"/>
      <c r="Q180" s="602"/>
      <c r="R180" s="78" t="s">
        <v>10</v>
      </c>
      <c r="S180" s="958" t="s">
        <v>2883</v>
      </c>
      <c r="T180" s="522" t="s">
        <v>975</v>
      </c>
      <c r="U180" s="529" t="s">
        <v>1007</v>
      </c>
      <c r="V180" s="524"/>
      <c r="W180" s="522" t="s">
        <v>1001</v>
      </c>
      <c r="X180" s="81" t="s">
        <v>1528</v>
      </c>
      <c r="Y180" s="81"/>
      <c r="Z180" s="522" t="s">
        <v>1036</v>
      </c>
      <c r="AA180" s="522"/>
      <c r="AD180" s="529" t="s">
        <v>1004</v>
      </c>
      <c r="AE180" s="529"/>
      <c r="AF180" s="522" t="s">
        <v>985</v>
      </c>
      <c r="AG180" s="522"/>
      <c r="AH180" s="522" t="s">
        <v>985</v>
      </c>
      <c r="AI180" s="522"/>
      <c r="AJ180" s="529" t="s">
        <v>985</v>
      </c>
      <c r="AK180" s="529"/>
      <c r="AL180" s="523" t="s">
        <v>1163</v>
      </c>
      <c r="AM180" s="522" t="s">
        <v>935</v>
      </c>
      <c r="AN180" s="522" t="s">
        <v>952</v>
      </c>
      <c r="AO180" s="522"/>
      <c r="AP180" s="522" t="s">
        <v>10</v>
      </c>
      <c r="AQ180" s="522"/>
      <c r="AS180" s="78">
        <v>1500</v>
      </c>
      <c r="AT180" s="79">
        <v>1565</v>
      </c>
      <c r="AU180" s="405">
        <v>10</v>
      </c>
      <c r="AV180" s="405"/>
      <c r="AW180" s="405">
        <f>VLOOKUP(Таблица7[[#This Row],[Основное оружие]], Оружие[#All], 2, 0)</f>
        <v>2</v>
      </c>
      <c r="AX180" s="405">
        <f>IF(ISBLANK(Таблица7[[#This Row],[Дополнительное оружие]]),"", VLOOKUP(Таблица7[[#This Row],[Дополнительное оружие]], Оружие[#All], 2, 0))</f>
        <v>5</v>
      </c>
      <c r="AY18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8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8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180" s="405">
        <f>VLOOKUP(Таблица7[[#This Row],[Основное оружие]], Оружие[#All], 3, 0)</f>
        <v>6</v>
      </c>
      <c r="BC180" s="405">
        <f>IF(ISBLANK(Таблица7[[#This Row],[Дополнительное оружие]]),"", VLOOKUP(Таблица7[[#This Row],[Дополнительное оружие]], Оружие[#All], 3, 0))</f>
        <v>3</v>
      </c>
      <c r="BD18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18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8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8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8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0" s="405">
        <f>Таблица7[[#This Row],[Броня]]+Таблица7[[#This Row],[Щит]]+Таблица7[[#This Row],[навык защиты]]</f>
        <v>29</v>
      </c>
      <c r="BK180" s="1006"/>
      <c r="BL180" s="1006"/>
      <c r="BM180" s="383"/>
      <c r="BN180" s="97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80" s="383">
        <v>1</v>
      </c>
      <c r="BP180" s="383">
        <v>-2</v>
      </c>
      <c r="BQ180" s="383">
        <v>0</v>
      </c>
      <c r="BR180" s="383">
        <v>-4</v>
      </c>
      <c r="BS180" s="383">
        <v>-2</v>
      </c>
      <c r="BT180" s="383">
        <v>11</v>
      </c>
      <c r="BU180" s="979" t="s">
        <v>1840</v>
      </c>
      <c r="BV180" s="979" t="s">
        <v>1844</v>
      </c>
      <c r="BW180" s="383"/>
      <c r="BX180" s="383"/>
      <c r="BY180" s="383"/>
      <c r="BZ180" s="80"/>
    </row>
    <row r="181" spans="1:78" s="78" customFormat="1" ht="40.5" customHeight="1" x14ac:dyDescent="0.25">
      <c r="A181" s="333">
        <v>180</v>
      </c>
      <c r="B181" s="522" t="s">
        <v>1624</v>
      </c>
      <c r="C181" s="522"/>
      <c r="D181" s="522" t="s">
        <v>1555</v>
      </c>
      <c r="E181" s="81" t="s">
        <v>1547</v>
      </c>
      <c r="F181" s="81"/>
      <c r="G181" s="81"/>
      <c r="H181" s="81"/>
      <c r="I181" s="651">
        <v>0.5</v>
      </c>
      <c r="J181" s="60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181" s="601">
        <f>Таблица7[[#This Row],[Размер отряда минимум]]*1.25</f>
        <v>15</v>
      </c>
      <c r="L181" s="601">
        <f>Таблица7[[#This Row],[Размер отряда норма]]*1.5</f>
        <v>22.5</v>
      </c>
      <c r="M181" s="602">
        <f>Таблица7[[#This Row],[Размер отряда минимум]]*2.5</f>
        <v>30</v>
      </c>
      <c r="N181" s="602"/>
      <c r="O181" s="602"/>
      <c r="P181" s="602"/>
      <c r="Q181" s="602"/>
      <c r="R181" s="78" t="s">
        <v>10</v>
      </c>
      <c r="S181" s="958" t="s">
        <v>2883</v>
      </c>
      <c r="T181" s="522" t="s">
        <v>976</v>
      </c>
      <c r="U181" s="529" t="s">
        <v>1007</v>
      </c>
      <c r="V181" s="524"/>
      <c r="W181" s="522" t="s">
        <v>1001</v>
      </c>
      <c r="X181" s="773" t="s">
        <v>1950</v>
      </c>
      <c r="Y181" s="522"/>
      <c r="Z181" s="522" t="s">
        <v>1440</v>
      </c>
      <c r="AA181" s="522"/>
      <c r="AB181" s="81"/>
      <c r="AC181" s="81"/>
      <c r="AD181" s="529" t="s">
        <v>1005</v>
      </c>
      <c r="AE181" s="529"/>
      <c r="AF181" s="522" t="s">
        <v>985</v>
      </c>
      <c r="AG181" s="522"/>
      <c r="AH181" s="529" t="s">
        <v>985</v>
      </c>
      <c r="AI181" s="529"/>
      <c r="AJ181" s="529" t="s">
        <v>985</v>
      </c>
      <c r="AK181" s="529"/>
      <c r="AL181" s="523" t="s">
        <v>985</v>
      </c>
      <c r="AM181" s="522" t="s">
        <v>935</v>
      </c>
      <c r="AN181" s="522" t="s">
        <v>952</v>
      </c>
      <c r="AO181" s="522"/>
      <c r="AP181" s="522" t="s">
        <v>10</v>
      </c>
      <c r="AQ181" s="522"/>
      <c r="AS181" s="78">
        <v>1565</v>
      </c>
      <c r="AT181" s="79"/>
      <c r="AU181" s="405">
        <v>10</v>
      </c>
      <c r="AV181" s="405" t="s">
        <v>1828</v>
      </c>
      <c r="AW181" s="405">
        <f>VLOOKUP(Таблица7[[#This Row],[Основное оружие]], Оружие[#All], 2, 0)</f>
        <v>0</v>
      </c>
      <c r="AX181" s="405">
        <f>IF(ISBLANK(Таблица7[[#This Row],[Дополнительное оружие]]),"", VLOOKUP(Таблица7[[#This Row],[Дополнительное оружие]], Оружие[#All], 2, 0))</f>
        <v>4</v>
      </c>
      <c r="AY18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8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8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81" s="405">
        <f>VLOOKUP(Таблица7[[#This Row],[Основное оружие]], Оружие[#All], 3, 0)</f>
        <v>1</v>
      </c>
      <c r="BC181" s="405">
        <f>IF(ISBLANK(Таблица7[[#This Row],[Дополнительное оружие]]),"", VLOOKUP(Таблица7[[#This Row],[Дополнительное оружие]], Оружие[#All], 3, 0))</f>
        <v>3</v>
      </c>
      <c r="BD18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18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8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8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8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1" s="405">
        <f>Таблица7[[#This Row],[Броня]]+Таблица7[[#This Row],[Щит]]+Таблица7[[#This Row],[навык защиты]]</f>
        <v>28</v>
      </c>
      <c r="BK181" s="1006"/>
      <c r="BL181" s="1006"/>
      <c r="BM181" s="383"/>
      <c r="BN181" s="97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81" s="383">
        <v>1</v>
      </c>
      <c r="BP181" s="383">
        <v>-2</v>
      </c>
      <c r="BQ181" s="383">
        <v>0</v>
      </c>
      <c r="BR181" s="383">
        <v>-4</v>
      </c>
      <c r="BS181" s="383">
        <v>-2</v>
      </c>
      <c r="BT181" s="383">
        <v>11</v>
      </c>
      <c r="BU181" s="979" t="s">
        <v>1840</v>
      </c>
      <c r="BV181" s="979" t="s">
        <v>1844</v>
      </c>
      <c r="BW181" s="383"/>
      <c r="BX181" s="383"/>
      <c r="BY181" s="383"/>
      <c r="BZ181" s="80"/>
    </row>
    <row r="182" spans="1:78" s="83" customFormat="1" ht="40.5" customHeight="1" x14ac:dyDescent="0.25">
      <c r="A182" s="333">
        <v>181</v>
      </c>
      <c r="B182" s="941" t="s">
        <v>2866</v>
      </c>
      <c r="C182" s="941" t="s">
        <v>2843</v>
      </c>
      <c r="D182" s="220" t="s">
        <v>1556</v>
      </c>
      <c r="E182" s="220" t="s">
        <v>1560</v>
      </c>
      <c r="F182" s="220"/>
      <c r="G182" s="220"/>
      <c r="H182" s="220"/>
      <c r="I182" s="652">
        <v>1</v>
      </c>
      <c r="J182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182" s="603">
        <f>Таблица7[[#This Row],[Размер отряда минимум]]*1.25</f>
        <v>125</v>
      </c>
      <c r="L182" s="603">
        <f>Таблица7[[#This Row],[Размер отряда норма]]*1.5</f>
        <v>187.5</v>
      </c>
      <c r="M182" s="604">
        <f>Таблица7[[#This Row],[Размер отряда минимум]]*2.5</f>
        <v>250</v>
      </c>
      <c r="N182" s="604"/>
      <c r="O182" s="604"/>
      <c r="P182" s="604"/>
      <c r="Q182" s="604"/>
      <c r="R182" s="84" t="s">
        <v>11</v>
      </c>
      <c r="S182" s="941" t="s">
        <v>2808</v>
      </c>
      <c r="T182" s="220" t="s">
        <v>1032</v>
      </c>
      <c r="U182" s="942" t="s">
        <v>2809</v>
      </c>
      <c r="V182" s="943" t="s">
        <v>2844</v>
      </c>
      <c r="W182" s="220" t="s">
        <v>984</v>
      </c>
      <c r="X182" s="220" t="s">
        <v>1508</v>
      </c>
      <c r="Y182" s="941" t="s">
        <v>2810</v>
      </c>
      <c r="Z182" s="220"/>
      <c r="AA182" s="220"/>
      <c r="AB182" s="220"/>
      <c r="AC182" s="220"/>
      <c r="AD182" s="221" t="s">
        <v>985</v>
      </c>
      <c r="AE182" s="221"/>
      <c r="AF182" s="220" t="s">
        <v>985</v>
      </c>
      <c r="AG182" s="220"/>
      <c r="AH182" s="220" t="s">
        <v>985</v>
      </c>
      <c r="AI182" s="220"/>
      <c r="AJ182" s="221" t="s">
        <v>985</v>
      </c>
      <c r="AK182" s="221"/>
      <c r="AL182" s="222" t="s">
        <v>985</v>
      </c>
      <c r="AM182" s="220" t="s">
        <v>935</v>
      </c>
      <c r="AN182" s="941" t="s">
        <v>1906</v>
      </c>
      <c r="AO182" s="941" t="s">
        <v>1905</v>
      </c>
      <c r="AP182" s="941" t="s">
        <v>952</v>
      </c>
      <c r="AQ182" s="941" t="s">
        <v>1871</v>
      </c>
      <c r="AS182" s="83">
        <v>1500</v>
      </c>
      <c r="AT182" s="85"/>
      <c r="AU182" s="405">
        <v>1</v>
      </c>
      <c r="AV182" s="405"/>
      <c r="AW182" s="405">
        <f>VLOOKUP(Таблица7[[#This Row],[Основное оружие]], Оружие[#All], 2, 0)</f>
        <v>3</v>
      </c>
      <c r="AX182" s="405" t="str">
        <f>IF(ISBLANK(Таблица7[[#This Row],[Дополнительное оружие]]),"", VLOOKUP(Таблица7[[#This Row],[Дополнительное оружие]], Оружие[#All], 2, 0))</f>
        <v/>
      </c>
      <c r="AY18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8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18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82" s="405">
        <f>VLOOKUP(Таблица7[[#This Row],[Основное оружие]], Оружие[#All], 3, 0)</f>
        <v>3</v>
      </c>
      <c r="BC182" s="405" t="str">
        <f>IF(ISBLANK(Таблица7[[#This Row],[Дополнительное оружие]]),"", VLOOKUP(Таблица7[[#This Row],[Дополнительное оружие]], Оружие[#All], 3, 0))</f>
        <v/>
      </c>
      <c r="BD18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8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8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8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8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2" s="405">
        <f>Таблица7[[#This Row],[Броня]]+Таблица7[[#This Row],[Щит]]+Таблица7[[#This Row],[навык защиты]]</f>
        <v>3</v>
      </c>
      <c r="BK182" s="1006"/>
      <c r="BL182" s="1006"/>
      <c r="BM182" s="384"/>
      <c r="BN182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82" s="384">
        <v>3</v>
      </c>
      <c r="BP182" s="384">
        <v>0</v>
      </c>
      <c r="BQ182" s="384">
        <v>-2</v>
      </c>
      <c r="BR182" s="384">
        <v>-1</v>
      </c>
      <c r="BS182" s="384">
        <v>2</v>
      </c>
      <c r="BT182" s="384">
        <v>2</v>
      </c>
      <c r="BU182" s="980" t="s">
        <v>1839</v>
      </c>
      <c r="BV182" s="980" t="s">
        <v>1842</v>
      </c>
      <c r="BW182" s="384"/>
      <c r="BX182" s="384"/>
      <c r="BY182" s="384"/>
      <c r="BZ182" s="86"/>
    </row>
    <row r="183" spans="1:78" s="83" customFormat="1" ht="40.5" customHeight="1" x14ac:dyDescent="0.25">
      <c r="A183" s="333">
        <v>182</v>
      </c>
      <c r="B183" s="941" t="s">
        <v>2867</v>
      </c>
      <c r="C183" s="941" t="s">
        <v>2811</v>
      </c>
      <c r="D183" s="220" t="s">
        <v>1556</v>
      </c>
      <c r="E183" s="220" t="s">
        <v>1546</v>
      </c>
      <c r="F183" s="220"/>
      <c r="G183" s="220"/>
      <c r="H183" s="220"/>
      <c r="I183" s="652">
        <v>0.6</v>
      </c>
      <c r="J183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54</v>
      </c>
      <c r="K183" s="603">
        <f>Таблица7[[#This Row],[Размер отряда минимум]]*1.25</f>
        <v>67.5</v>
      </c>
      <c r="L183" s="603">
        <f>Таблица7[[#This Row],[Размер отряда норма]]*1.5</f>
        <v>101.25</v>
      </c>
      <c r="M183" s="604">
        <f>Таблица7[[#This Row],[Размер отряда минимум]]*2.5</f>
        <v>135</v>
      </c>
      <c r="N183" s="604"/>
      <c r="O183" s="604"/>
      <c r="P183" s="604"/>
      <c r="Q183" s="604"/>
      <c r="R183" s="84" t="s">
        <v>11</v>
      </c>
      <c r="S183" s="941" t="s">
        <v>2808</v>
      </c>
      <c r="T183" s="220" t="s">
        <v>975</v>
      </c>
      <c r="U183" s="942" t="s">
        <v>2812</v>
      </c>
      <c r="V183" s="943" t="s">
        <v>2813</v>
      </c>
      <c r="W183" s="220" t="s">
        <v>1001</v>
      </c>
      <c r="X183" s="344" t="s">
        <v>1550</v>
      </c>
      <c r="Y183" s="941" t="s">
        <v>2814</v>
      </c>
      <c r="Z183" s="344"/>
      <c r="AA183" s="344"/>
      <c r="AB183" s="344"/>
      <c r="AC183" s="344"/>
      <c r="AD183" s="221" t="s">
        <v>985</v>
      </c>
      <c r="AE183" s="221"/>
      <c r="AF183" s="941" t="s">
        <v>2825</v>
      </c>
      <c r="AG183" s="941" t="s">
        <v>2816</v>
      </c>
      <c r="AH183" s="220" t="s">
        <v>985</v>
      </c>
      <c r="AI183" s="220"/>
      <c r="AJ183" s="221" t="s">
        <v>985</v>
      </c>
      <c r="AK183" s="221"/>
      <c r="AL183" s="222" t="s">
        <v>985</v>
      </c>
      <c r="AM183" s="220" t="s">
        <v>978</v>
      </c>
      <c r="AN183" s="941" t="s">
        <v>992</v>
      </c>
      <c r="AO183" s="941" t="s">
        <v>1904</v>
      </c>
      <c r="AP183" s="220" t="s">
        <v>1166</v>
      </c>
      <c r="AQ183" s="941" t="s">
        <v>2817</v>
      </c>
      <c r="AS183" s="83">
        <v>1500</v>
      </c>
      <c r="AT183" s="85">
        <v>1550</v>
      </c>
      <c r="AU183" s="405">
        <v>2</v>
      </c>
      <c r="AV183" s="405"/>
      <c r="AW183" s="405">
        <f>VLOOKUP(Таблица7[[#This Row],[Основное оружие]], Оружие[#All], 2, 0)</f>
        <v>4</v>
      </c>
      <c r="AX183" s="405" t="str">
        <f>IF(ISBLANK(Таблица7[[#This Row],[Дополнительное оружие]]),"", VLOOKUP(Таблица7[[#This Row],[Дополнительное оружие]], Оружие[#All], 2, 0))</f>
        <v/>
      </c>
      <c r="AY18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8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18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83" s="405">
        <f>VLOOKUP(Таблица7[[#This Row],[Основное оружие]], Оружие[#All], 3, 0)</f>
        <v>3</v>
      </c>
      <c r="BC183" s="405" t="str">
        <f>IF(ISBLANK(Таблица7[[#This Row],[Дополнительное оружие]]),"", VLOOKUP(Таблица7[[#This Row],[Дополнительное оружие]], Оружие[#All], 3, 0))</f>
        <v/>
      </c>
      <c r="BD18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8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6</v>
      </c>
      <c r="BF18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8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8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3" s="405">
        <f>Таблица7[[#This Row],[Броня]]+Таблица7[[#This Row],[Щит]]+Таблица7[[#This Row],[навык защиты]]</f>
        <v>4</v>
      </c>
      <c r="BK183" s="1006"/>
      <c r="BL183" s="1006"/>
      <c r="BM183" s="384"/>
      <c r="BN183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83" s="384">
        <v>3</v>
      </c>
      <c r="BP183" s="384">
        <v>0</v>
      </c>
      <c r="BQ183" s="384">
        <v>-2</v>
      </c>
      <c r="BR183" s="384">
        <v>0</v>
      </c>
      <c r="BS183" s="384">
        <v>2</v>
      </c>
      <c r="BT183" s="384">
        <v>7</v>
      </c>
      <c r="BU183" s="980" t="s">
        <v>1576</v>
      </c>
      <c r="BV183" s="980" t="s">
        <v>1843</v>
      </c>
      <c r="BW183" s="384"/>
      <c r="BX183" s="384"/>
      <c r="BY183" s="384"/>
      <c r="BZ183" s="86"/>
    </row>
    <row r="184" spans="1:78" s="83" customFormat="1" ht="40.5" customHeight="1" x14ac:dyDescent="0.25">
      <c r="A184" s="333">
        <v>183</v>
      </c>
      <c r="B184" s="287" t="s">
        <v>1291</v>
      </c>
      <c r="C184" s="941" t="s">
        <v>2845</v>
      </c>
      <c r="D184" s="220" t="s">
        <v>1555</v>
      </c>
      <c r="E184" s="220" t="s">
        <v>1570</v>
      </c>
      <c r="F184" s="220"/>
      <c r="G184" s="220"/>
      <c r="H184" s="220"/>
      <c r="I184" s="652">
        <v>1</v>
      </c>
      <c r="J184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184" s="603">
        <f>Таблица7[[#This Row],[Размер отряда минимум]]*1.25</f>
        <v>50</v>
      </c>
      <c r="L184" s="603">
        <f>Таблица7[[#This Row],[Размер отряда норма]]*1.5</f>
        <v>75</v>
      </c>
      <c r="M184" s="604">
        <f>Таблица7[[#This Row],[Размер отряда минимум]]*2.5</f>
        <v>100</v>
      </c>
      <c r="N184" s="604"/>
      <c r="O184" s="604"/>
      <c r="P184" s="604"/>
      <c r="Q184" s="604"/>
      <c r="R184" s="84" t="s">
        <v>11</v>
      </c>
      <c r="S184" s="941" t="s">
        <v>2808</v>
      </c>
      <c r="T184" s="220" t="s">
        <v>1032</v>
      </c>
      <c r="U184" s="942" t="s">
        <v>2818</v>
      </c>
      <c r="V184" s="943" t="s">
        <v>2846</v>
      </c>
      <c r="W184" s="221" t="s">
        <v>984</v>
      </c>
      <c r="X184" s="220" t="s">
        <v>1470</v>
      </c>
      <c r="Y184" s="941" t="s">
        <v>1940</v>
      </c>
      <c r="Z184" s="220" t="s">
        <v>1550</v>
      </c>
      <c r="AA184" s="941" t="s">
        <v>2814</v>
      </c>
      <c r="AB184" s="220"/>
      <c r="AC184" s="220"/>
      <c r="AD184" s="221" t="s">
        <v>985</v>
      </c>
      <c r="AE184" s="221"/>
      <c r="AF184" s="941" t="s">
        <v>2825</v>
      </c>
      <c r="AG184" s="941" t="s">
        <v>2816</v>
      </c>
      <c r="AH184" s="220" t="s">
        <v>985</v>
      </c>
      <c r="AI184" s="220"/>
      <c r="AJ184" s="221" t="s">
        <v>985</v>
      </c>
      <c r="AK184" s="221"/>
      <c r="AL184" s="222" t="s">
        <v>985</v>
      </c>
      <c r="AM184" s="220" t="s">
        <v>977</v>
      </c>
      <c r="AN184" s="941" t="s">
        <v>999</v>
      </c>
      <c r="AO184" s="941" t="s">
        <v>2032</v>
      </c>
      <c r="AP184" s="220" t="s">
        <v>1166</v>
      </c>
      <c r="AQ184" s="941" t="s">
        <v>2817</v>
      </c>
      <c r="AS184" s="83">
        <v>1500</v>
      </c>
      <c r="AT184" s="85"/>
      <c r="AU184" s="405">
        <v>3</v>
      </c>
      <c r="AV184" s="405" t="s">
        <v>1827</v>
      </c>
      <c r="AW184" s="405">
        <f>VLOOKUP(Таблица7[[#This Row],[Основное оружие]], Оружие[#All], 2, 0)</f>
        <v>0</v>
      </c>
      <c r="AX184" s="405">
        <f>IF(ISBLANK(Таблица7[[#This Row],[Дополнительное оружие]]),"", VLOOKUP(Таблица7[[#This Row],[Дополнительное оружие]], Оружие[#All], 2, 0))</f>
        <v>4</v>
      </c>
      <c r="AY18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18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8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184" s="405">
        <f>VLOOKUP(Таблица7[[#This Row],[Основное оружие]], Оружие[#All], 3, 0)</f>
        <v>1</v>
      </c>
      <c r="BC184" s="405">
        <f>IF(ISBLANK(Таблица7[[#This Row],[Дополнительное оружие]]),"", VLOOKUP(Таблица7[[#This Row],[Дополнительное оружие]], Оружие[#All], 3, 0))</f>
        <v>3</v>
      </c>
      <c r="BD18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8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4</v>
      </c>
      <c r="BF18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8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8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4" s="405">
        <f>Таблица7[[#This Row],[Броня]]+Таблица7[[#This Row],[Щит]]+Таблица7[[#This Row],[навык защиты]]</f>
        <v>3</v>
      </c>
      <c r="BK184" s="1006"/>
      <c r="BL184" s="1006"/>
      <c r="BM184" s="384"/>
      <c r="BN184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84" s="384">
        <v>3</v>
      </c>
      <c r="BP184" s="384">
        <v>-2</v>
      </c>
      <c r="BQ184" s="384">
        <v>0</v>
      </c>
      <c r="BR184" s="384">
        <v>-4</v>
      </c>
      <c r="BS184" s="384">
        <v>-2</v>
      </c>
      <c r="BT184" s="384">
        <v>7</v>
      </c>
      <c r="BU184" s="980" t="s">
        <v>1576</v>
      </c>
      <c r="BV184" s="980" t="s">
        <v>1843</v>
      </c>
      <c r="BW184" s="384"/>
      <c r="BX184" s="384"/>
      <c r="BY184" s="384"/>
      <c r="BZ184" s="86"/>
    </row>
    <row r="185" spans="1:78" s="83" customFormat="1" ht="40.5" customHeight="1" x14ac:dyDescent="0.25">
      <c r="A185" s="333">
        <v>184</v>
      </c>
      <c r="B185" s="287" t="s">
        <v>1292</v>
      </c>
      <c r="C185" s="941" t="s">
        <v>2820</v>
      </c>
      <c r="D185" s="220" t="s">
        <v>1555</v>
      </c>
      <c r="E185" s="220" t="s">
        <v>1570</v>
      </c>
      <c r="F185" s="220"/>
      <c r="G185" s="220"/>
      <c r="H185" s="220"/>
      <c r="I185" s="652">
        <v>0.9</v>
      </c>
      <c r="J185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185" s="603">
        <f>Таблица7[[#This Row],[Размер отряда минимум]]*1.25</f>
        <v>45</v>
      </c>
      <c r="L185" s="603">
        <f>Таблица7[[#This Row],[Размер отряда норма]]*1.5</f>
        <v>67.5</v>
      </c>
      <c r="M185" s="604">
        <f>Таблица7[[#This Row],[Размер отряда минимум]]*2.5</f>
        <v>90</v>
      </c>
      <c r="N185" s="604"/>
      <c r="O185" s="604"/>
      <c r="P185" s="604"/>
      <c r="Q185" s="604"/>
      <c r="R185" s="84" t="s">
        <v>11</v>
      </c>
      <c r="S185" s="941" t="s">
        <v>2808</v>
      </c>
      <c r="T185" s="220" t="s">
        <v>1032</v>
      </c>
      <c r="U185" s="942" t="s">
        <v>2821</v>
      </c>
      <c r="V185" s="943" t="s">
        <v>2822</v>
      </c>
      <c r="W185" s="221" t="s">
        <v>984</v>
      </c>
      <c r="X185" s="220" t="s">
        <v>1688</v>
      </c>
      <c r="Y185" s="220" t="s">
        <v>1941</v>
      </c>
      <c r="Z185" s="220" t="s">
        <v>1441</v>
      </c>
      <c r="AA185" s="941" t="s">
        <v>1934</v>
      </c>
      <c r="AB185" s="220"/>
      <c r="AC185" s="220"/>
      <c r="AD185" s="221" t="s">
        <v>985</v>
      </c>
      <c r="AE185" s="221"/>
      <c r="AF185" s="220" t="s">
        <v>985</v>
      </c>
      <c r="AG185" s="220"/>
      <c r="AH185" s="220" t="s">
        <v>985</v>
      </c>
      <c r="AI185" s="220"/>
      <c r="AJ185" s="221" t="s">
        <v>985</v>
      </c>
      <c r="AK185" s="221"/>
      <c r="AL185" s="222" t="s">
        <v>985</v>
      </c>
      <c r="AM185" s="220" t="s">
        <v>978</v>
      </c>
      <c r="AN185" s="941" t="s">
        <v>992</v>
      </c>
      <c r="AO185" s="941" t="s">
        <v>1904</v>
      </c>
      <c r="AP185" s="220" t="s">
        <v>1168</v>
      </c>
      <c r="AQ185" s="941" t="s">
        <v>2823</v>
      </c>
      <c r="AS185" s="83">
        <v>1500</v>
      </c>
      <c r="AT185" s="85"/>
      <c r="AU185" s="405">
        <v>7</v>
      </c>
      <c r="AV185" s="405" t="s">
        <v>1828</v>
      </c>
      <c r="AW185" s="405">
        <f>VLOOKUP(Таблица7[[#This Row],[Основное оружие]], Оружие[#All], 2, 0)</f>
        <v>0</v>
      </c>
      <c r="AX185" s="405">
        <f>IF(ISBLANK(Таблица7[[#This Row],[Дополнительное оружие]]),"", VLOOKUP(Таблица7[[#This Row],[Дополнительное оружие]], Оружие[#All], 2, 0))</f>
        <v>4</v>
      </c>
      <c r="AY18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8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8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85" s="405">
        <f>VLOOKUP(Таблица7[[#This Row],[Основное оружие]], Оружие[#All], 3, 0)</f>
        <v>1</v>
      </c>
      <c r="BC185" s="405">
        <f>IF(ISBLANK(Таблица7[[#This Row],[Дополнительное оружие]]),"", VLOOKUP(Таблица7[[#This Row],[Дополнительное оружие]], Оружие[#All], 3, 0))</f>
        <v>3</v>
      </c>
      <c r="BD18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8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8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8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8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5" s="405">
        <f>Таблица7[[#This Row],[Броня]]+Таблица7[[#This Row],[Щит]]+Таблица7[[#This Row],[навык защиты]]</f>
        <v>7</v>
      </c>
      <c r="BK185" s="1006"/>
      <c r="BL185" s="1006"/>
      <c r="BM185" s="384"/>
      <c r="BN185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85" s="384">
        <v>1</v>
      </c>
      <c r="BP185" s="384">
        <v>-2</v>
      </c>
      <c r="BQ185" s="384">
        <v>0</v>
      </c>
      <c r="BR185" s="384">
        <v>-4</v>
      </c>
      <c r="BS185" s="384">
        <v>-2</v>
      </c>
      <c r="BT185" s="384">
        <v>10</v>
      </c>
      <c r="BU185" s="980" t="s">
        <v>1576</v>
      </c>
      <c r="BV185" s="980" t="s">
        <v>1842</v>
      </c>
      <c r="BW185" s="384"/>
      <c r="BX185" s="384"/>
      <c r="BY185" s="384"/>
      <c r="BZ185" s="86"/>
    </row>
    <row r="186" spans="1:78" s="83" customFormat="1" ht="40.5" customHeight="1" x14ac:dyDescent="0.25">
      <c r="A186" s="333">
        <v>185</v>
      </c>
      <c r="B186" s="941" t="s">
        <v>2819</v>
      </c>
      <c r="C186" s="941" t="s">
        <v>2847</v>
      </c>
      <c r="D186" s="220" t="s">
        <v>1555</v>
      </c>
      <c r="E186" s="220" t="s">
        <v>1570</v>
      </c>
      <c r="F186" s="220"/>
      <c r="G186" s="220"/>
      <c r="H186" s="220"/>
      <c r="I186" s="652">
        <v>1</v>
      </c>
      <c r="J186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186" s="603">
        <f>Таблица7[[#This Row],[Размер отряда минимум]]*1.25</f>
        <v>50</v>
      </c>
      <c r="L186" s="603">
        <f>Таблица7[[#This Row],[Размер отряда норма]]*1.5</f>
        <v>75</v>
      </c>
      <c r="M186" s="604">
        <f>Таблица7[[#This Row],[Размер отряда минимум]]*2.5</f>
        <v>100</v>
      </c>
      <c r="N186" s="604"/>
      <c r="O186" s="604"/>
      <c r="P186" s="604"/>
      <c r="Q186" s="604"/>
      <c r="R186" s="84" t="s">
        <v>11</v>
      </c>
      <c r="S186" s="941" t="s">
        <v>2808</v>
      </c>
      <c r="T186" s="220" t="s">
        <v>1032</v>
      </c>
      <c r="U186" s="942" t="s">
        <v>2824</v>
      </c>
      <c r="V186" s="943" t="s">
        <v>2848</v>
      </c>
      <c r="W186" s="221" t="s">
        <v>984</v>
      </c>
      <c r="X186" s="220" t="s">
        <v>1688</v>
      </c>
      <c r="Y186" s="220" t="s">
        <v>1941</v>
      </c>
      <c r="Z186" s="220" t="s">
        <v>1441</v>
      </c>
      <c r="AA186" s="941" t="s">
        <v>1934</v>
      </c>
      <c r="AB186" s="220"/>
      <c r="AC186" s="220"/>
      <c r="AD186" s="221" t="s">
        <v>985</v>
      </c>
      <c r="AE186" s="221"/>
      <c r="AF186" s="220" t="s">
        <v>985</v>
      </c>
      <c r="AG186" s="220"/>
      <c r="AH186" s="220" t="s">
        <v>985</v>
      </c>
      <c r="AI186" s="220"/>
      <c r="AJ186" s="221" t="s">
        <v>985</v>
      </c>
      <c r="AK186" s="221"/>
      <c r="AL186" s="222" t="s">
        <v>985</v>
      </c>
      <c r="AM186" s="220" t="s">
        <v>977</v>
      </c>
      <c r="AN186" s="941" t="s">
        <v>992</v>
      </c>
      <c r="AO186" s="941" t="s">
        <v>1904</v>
      </c>
      <c r="AP186" s="220" t="s">
        <v>1168</v>
      </c>
      <c r="AQ186" s="941" t="s">
        <v>2823</v>
      </c>
      <c r="AS186" s="83">
        <v>1500</v>
      </c>
      <c r="AT186" s="85"/>
      <c r="AU186" s="405">
        <v>2</v>
      </c>
      <c r="AV186" s="405" t="s">
        <v>1828</v>
      </c>
      <c r="AW186" s="405">
        <f>VLOOKUP(Таблица7[[#This Row],[Основное оружие]], Оружие[#All], 2, 0)</f>
        <v>0</v>
      </c>
      <c r="AX186" s="405">
        <f>IF(ISBLANK(Таблица7[[#This Row],[Дополнительное оружие]]),"", VLOOKUP(Таблица7[[#This Row],[Дополнительное оружие]], Оружие[#All], 2, 0))</f>
        <v>4</v>
      </c>
      <c r="AY18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8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8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186" s="405">
        <f>VLOOKUP(Таблица7[[#This Row],[Основное оружие]], Оружие[#All], 3, 0)</f>
        <v>1</v>
      </c>
      <c r="BC186" s="405">
        <f>IF(ISBLANK(Таблица7[[#This Row],[Дополнительное оружие]]),"", VLOOKUP(Таблица7[[#This Row],[Дополнительное оружие]], Оружие[#All], 3, 0))</f>
        <v>3</v>
      </c>
      <c r="BD18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8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8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8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18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6" s="405">
        <f>Таблица7[[#This Row],[Броня]]+Таблица7[[#This Row],[Щит]]+Таблица7[[#This Row],[навык защиты]]</f>
        <v>2</v>
      </c>
      <c r="BK186" s="1008" t="s">
        <v>1591</v>
      </c>
      <c r="BL186" s="1006"/>
      <c r="BM186" s="384"/>
      <c r="BN186" s="981" t="s">
        <v>1578</v>
      </c>
      <c r="BO186" s="384">
        <v>1</v>
      </c>
      <c r="BP186" s="384">
        <v>-2</v>
      </c>
      <c r="BQ186" s="384">
        <v>0</v>
      </c>
      <c r="BR186" s="384">
        <v>-4</v>
      </c>
      <c r="BS186" s="384">
        <v>-2</v>
      </c>
      <c r="BT186" s="384">
        <v>10</v>
      </c>
      <c r="BU186" s="980" t="s">
        <v>1576</v>
      </c>
      <c r="BV186" s="980" t="s">
        <v>1842</v>
      </c>
      <c r="BW186" s="384"/>
      <c r="BX186" s="384"/>
      <c r="BY186" s="384"/>
      <c r="BZ186" s="86"/>
    </row>
    <row r="187" spans="1:78" s="83" customFormat="1" ht="40.5" customHeight="1" x14ac:dyDescent="0.25">
      <c r="A187" s="333">
        <v>186</v>
      </c>
      <c r="B187" s="941" t="s">
        <v>2827</v>
      </c>
      <c r="C187" s="941" t="s">
        <v>2826</v>
      </c>
      <c r="D187" s="220" t="s">
        <v>1556</v>
      </c>
      <c r="E187" s="220" t="s">
        <v>1570</v>
      </c>
      <c r="F187" s="220"/>
      <c r="G187" s="220"/>
      <c r="H187" s="220"/>
      <c r="I187" s="652">
        <v>0.6</v>
      </c>
      <c r="J187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60</v>
      </c>
      <c r="K187" s="603">
        <f>Таблица7[[#This Row],[Размер отряда минимум]]*1.25</f>
        <v>75</v>
      </c>
      <c r="L187" s="603">
        <f>Таблица7[[#This Row],[Размер отряда норма]]*1.5</f>
        <v>112.5</v>
      </c>
      <c r="M187" s="604">
        <f>Таблица7[[#This Row],[Размер отряда минимум]]*2.5</f>
        <v>150</v>
      </c>
      <c r="N187" s="604"/>
      <c r="O187" s="604"/>
      <c r="P187" s="604"/>
      <c r="Q187" s="604"/>
      <c r="R187" s="84" t="s">
        <v>11</v>
      </c>
      <c r="S187" s="941" t="s">
        <v>2808</v>
      </c>
      <c r="T187" s="220" t="s">
        <v>976</v>
      </c>
      <c r="U187" s="942" t="s">
        <v>2828</v>
      </c>
      <c r="V187" s="943" t="s">
        <v>2829</v>
      </c>
      <c r="W187" s="221" t="s">
        <v>1001</v>
      </c>
      <c r="X187" s="220" t="s">
        <v>1688</v>
      </c>
      <c r="Y187" s="220" t="s">
        <v>1941</v>
      </c>
      <c r="Z187" s="220" t="s">
        <v>1508</v>
      </c>
      <c r="AA187" s="941" t="s">
        <v>2810</v>
      </c>
      <c r="AB187" s="220"/>
      <c r="AC187" s="220"/>
      <c r="AD187" s="221" t="s">
        <v>1027</v>
      </c>
      <c r="AE187" s="221" t="s">
        <v>1980</v>
      </c>
      <c r="AF187" s="220" t="s">
        <v>1202</v>
      </c>
      <c r="AG187" s="220" t="s">
        <v>1980</v>
      </c>
      <c r="AH187" s="220" t="s">
        <v>985</v>
      </c>
      <c r="AI187" s="220"/>
      <c r="AJ187" s="221" t="s">
        <v>985</v>
      </c>
      <c r="AK187" s="221"/>
      <c r="AL187" s="222" t="s">
        <v>985</v>
      </c>
      <c r="AM187" s="220" t="s">
        <v>977</v>
      </c>
      <c r="AN187" s="941" t="s">
        <v>2380</v>
      </c>
      <c r="AO187" s="941" t="s">
        <v>2063</v>
      </c>
      <c r="AP187" s="220" t="s">
        <v>1166</v>
      </c>
      <c r="AQ187" s="941" t="s">
        <v>2817</v>
      </c>
      <c r="AS187" s="83">
        <v>1550</v>
      </c>
      <c r="AT187" s="85"/>
      <c r="AU187" s="405">
        <v>5</v>
      </c>
      <c r="AV187" s="405" t="s">
        <v>1827</v>
      </c>
      <c r="AW187" s="405">
        <f>VLOOKUP(Таблица7[[#This Row],[Основное оружие]], Оружие[#All], 2, 0)</f>
        <v>0</v>
      </c>
      <c r="AX187" s="405">
        <f>IF(ISBLANK(Таблица7[[#This Row],[Дополнительное оружие]]),"", VLOOKUP(Таблица7[[#This Row],[Дополнительное оружие]], Оружие[#All], 2, 0))</f>
        <v>3</v>
      </c>
      <c r="AY18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8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8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87" s="405">
        <f>VLOOKUP(Таблица7[[#This Row],[Основное оружие]], Оружие[#All], 3, 0)</f>
        <v>1</v>
      </c>
      <c r="BC187" s="405">
        <f>IF(ISBLANK(Таблица7[[#This Row],[Дополнительное оружие]]),"", VLOOKUP(Таблица7[[#This Row],[Дополнительное оружие]], Оружие[#All], 3, 0))</f>
        <v>3</v>
      </c>
      <c r="BD18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18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10</v>
      </c>
      <c r="BF18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8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8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7" s="405">
        <f>Таблица7[[#This Row],[Броня]]+Таблица7[[#This Row],[Щит]]+Таблица7[[#This Row],[навык защиты]]</f>
        <v>14</v>
      </c>
      <c r="BK187" s="1006"/>
      <c r="BL187" s="1006"/>
      <c r="BM187" s="384"/>
      <c r="BN187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87" s="384">
        <v>3</v>
      </c>
      <c r="BP187" s="384">
        <v>0</v>
      </c>
      <c r="BQ187" s="384">
        <v>-2</v>
      </c>
      <c r="BR187" s="384">
        <v>-1</v>
      </c>
      <c r="BS187" s="384">
        <v>2</v>
      </c>
      <c r="BT187" s="384">
        <v>9</v>
      </c>
      <c r="BU187" s="980" t="s">
        <v>1576</v>
      </c>
      <c r="BV187" s="980" t="s">
        <v>1843</v>
      </c>
      <c r="BW187" s="384"/>
      <c r="BX187" s="384"/>
      <c r="BY187" s="384"/>
      <c r="BZ187" s="86"/>
    </row>
    <row r="188" spans="1:78" s="83" customFormat="1" ht="40.5" customHeight="1" x14ac:dyDescent="0.25">
      <c r="A188" s="333">
        <v>187</v>
      </c>
      <c r="B188" s="287" t="s">
        <v>1293</v>
      </c>
      <c r="C188" s="941" t="s">
        <v>2830</v>
      </c>
      <c r="D188" s="220" t="s">
        <v>1555</v>
      </c>
      <c r="E188" s="220" t="s">
        <v>1571</v>
      </c>
      <c r="F188" s="220"/>
      <c r="G188" s="220"/>
      <c r="H188" s="220"/>
      <c r="I188" s="652">
        <v>1</v>
      </c>
      <c r="J188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</v>
      </c>
      <c r="K188" s="603">
        <f>Таблица7[[#This Row],[Размер отряда минимум]]*1.25</f>
        <v>40</v>
      </c>
      <c r="L188" s="603">
        <f>Таблица7[[#This Row],[Размер отряда норма]]*1.5</f>
        <v>60</v>
      </c>
      <c r="M188" s="604">
        <f>Таблица7[[#This Row],[Размер отряда минимум]]*2.5</f>
        <v>80</v>
      </c>
      <c r="N188" s="604"/>
      <c r="O188" s="604"/>
      <c r="P188" s="604"/>
      <c r="Q188" s="604"/>
      <c r="R188" s="84" t="s">
        <v>11</v>
      </c>
      <c r="S188" s="941" t="s">
        <v>2808</v>
      </c>
      <c r="T188" s="220" t="s">
        <v>1032</v>
      </c>
      <c r="U188" s="942" t="s">
        <v>2831</v>
      </c>
      <c r="V188" s="943" t="s">
        <v>2832</v>
      </c>
      <c r="W188" s="221" t="s">
        <v>1001</v>
      </c>
      <c r="X188" s="220" t="s">
        <v>1688</v>
      </c>
      <c r="Y188" s="220" t="s">
        <v>1941</v>
      </c>
      <c r="Z188" s="220" t="s">
        <v>1020</v>
      </c>
      <c r="AA188" s="941" t="s">
        <v>1916</v>
      </c>
      <c r="AB188" s="220"/>
      <c r="AC188" s="220"/>
      <c r="AD188" s="221" t="s">
        <v>1027</v>
      </c>
      <c r="AE188" s="942" t="s">
        <v>1979</v>
      </c>
      <c r="AF188" s="220" t="s">
        <v>1202</v>
      </c>
      <c r="AG188" s="220" t="s">
        <v>1980</v>
      </c>
      <c r="AH188" s="220" t="s">
        <v>1477</v>
      </c>
      <c r="AI188" s="220" t="s">
        <v>2323</v>
      </c>
      <c r="AJ188" s="221" t="s">
        <v>985</v>
      </c>
      <c r="AK188" s="221"/>
      <c r="AL188" s="222" t="s">
        <v>985</v>
      </c>
      <c r="AM188" s="220" t="s">
        <v>977</v>
      </c>
      <c r="AN188" s="941" t="s">
        <v>999</v>
      </c>
      <c r="AO188" s="941" t="s">
        <v>2032</v>
      </c>
      <c r="AP188" s="220" t="s">
        <v>1166</v>
      </c>
      <c r="AQ188" s="941" t="s">
        <v>2817</v>
      </c>
      <c r="AS188" s="83">
        <v>1500</v>
      </c>
      <c r="AT188" s="85"/>
      <c r="AU188" s="405">
        <v>7</v>
      </c>
      <c r="AV188" s="405" t="s">
        <v>1828</v>
      </c>
      <c r="AW188" s="405">
        <f>VLOOKUP(Таблица7[[#This Row],[Основное оружие]], Оружие[#All], 2, 0)</f>
        <v>0</v>
      </c>
      <c r="AX188" s="405">
        <f>IF(ISBLANK(Таблица7[[#This Row],[Дополнительное оружие]]),"", VLOOKUP(Таблица7[[#This Row],[Дополнительное оружие]], Оружие[#All], 2, 0))</f>
        <v>2</v>
      </c>
      <c r="AY18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8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8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188" s="405">
        <f>VLOOKUP(Таблица7[[#This Row],[Основное оружие]], Оружие[#All], 3, 0)</f>
        <v>1</v>
      </c>
      <c r="BC188" s="405">
        <f>IF(ISBLANK(Таблица7[[#This Row],[Дополнительное оружие]]),"", VLOOKUP(Таблица7[[#This Row],[Дополнительное оружие]], Оружие[#All], 3, 0))</f>
        <v>3</v>
      </c>
      <c r="BD18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6</v>
      </c>
      <c r="BE18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88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18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8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8" s="405">
        <f>Таблица7[[#This Row],[Броня]]+Таблица7[[#This Row],[Щит]]+Таблица7[[#This Row],[навык защиты]]</f>
        <v>11</v>
      </c>
      <c r="BK188" s="1006"/>
      <c r="BL188" s="1006"/>
      <c r="BM188" s="384"/>
      <c r="BN188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88" s="384">
        <v>3</v>
      </c>
      <c r="BP188" s="384">
        <v>-2</v>
      </c>
      <c r="BQ188" s="384">
        <v>0</v>
      </c>
      <c r="BR188" s="384">
        <v>-4</v>
      </c>
      <c r="BS188" s="384">
        <v>-2</v>
      </c>
      <c r="BT188" s="384">
        <v>10</v>
      </c>
      <c r="BU188" s="980" t="s">
        <v>1576</v>
      </c>
      <c r="BV188" s="980" t="s">
        <v>1843</v>
      </c>
      <c r="BW188" s="384"/>
      <c r="BX188" s="384"/>
      <c r="BY188" s="384"/>
      <c r="BZ188" s="86"/>
    </row>
    <row r="189" spans="1:78" s="83" customFormat="1" ht="40.5" customHeight="1" x14ac:dyDescent="0.25">
      <c r="A189" s="333">
        <v>188</v>
      </c>
      <c r="B189" s="287" t="s">
        <v>1294</v>
      </c>
      <c r="C189" s="941" t="s">
        <v>2833</v>
      </c>
      <c r="D189" s="220" t="s">
        <v>1555</v>
      </c>
      <c r="E189" s="220" t="s">
        <v>1570</v>
      </c>
      <c r="F189" s="220"/>
      <c r="G189" s="220"/>
      <c r="H189" s="220"/>
      <c r="I189" s="652">
        <v>1</v>
      </c>
      <c r="J189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189" s="603">
        <f>Таблица7[[#This Row],[Размер отряда минимум]]*1.25</f>
        <v>50</v>
      </c>
      <c r="L189" s="603">
        <f>Таблица7[[#This Row],[Размер отряда норма]]*1.5</f>
        <v>75</v>
      </c>
      <c r="M189" s="604">
        <f>Таблица7[[#This Row],[Размер отряда минимум]]*2.5</f>
        <v>100</v>
      </c>
      <c r="N189" s="604"/>
      <c r="O189" s="604"/>
      <c r="P189" s="604"/>
      <c r="Q189" s="604"/>
      <c r="R189" s="84" t="s">
        <v>11</v>
      </c>
      <c r="S189" s="941" t="s">
        <v>2808</v>
      </c>
      <c r="T189" s="220" t="s">
        <v>1032</v>
      </c>
      <c r="U189" s="942" t="s">
        <v>2834</v>
      </c>
      <c r="V189" s="943" t="s">
        <v>2835</v>
      </c>
      <c r="W189" s="221" t="s">
        <v>1001</v>
      </c>
      <c r="X189" s="220" t="s">
        <v>1688</v>
      </c>
      <c r="Y189" s="220" t="s">
        <v>1941</v>
      </c>
      <c r="Z189" s="220" t="s">
        <v>1441</v>
      </c>
      <c r="AA189" s="941" t="s">
        <v>1934</v>
      </c>
      <c r="AB189" s="220"/>
      <c r="AC189" s="220"/>
      <c r="AD189" s="221" t="s">
        <v>1027</v>
      </c>
      <c r="AE189" s="942" t="s">
        <v>1979</v>
      </c>
      <c r="AF189" s="220" t="s">
        <v>1202</v>
      </c>
      <c r="AG189" s="220" t="s">
        <v>1980</v>
      </c>
      <c r="AH189" s="220" t="s">
        <v>985</v>
      </c>
      <c r="AI189" s="220"/>
      <c r="AJ189" s="221" t="s">
        <v>985</v>
      </c>
      <c r="AK189" s="221"/>
      <c r="AL189" s="222" t="s">
        <v>985</v>
      </c>
      <c r="AM189" s="220" t="s">
        <v>977</v>
      </c>
      <c r="AN189" s="941" t="s">
        <v>999</v>
      </c>
      <c r="AO189" s="941" t="s">
        <v>2032</v>
      </c>
      <c r="AP189" s="220" t="s">
        <v>1166</v>
      </c>
      <c r="AQ189" s="941" t="s">
        <v>2817</v>
      </c>
      <c r="AS189" s="83">
        <v>1500</v>
      </c>
      <c r="AT189" s="85"/>
      <c r="AU189" s="405">
        <v>7</v>
      </c>
      <c r="AV189" s="405" t="s">
        <v>1827</v>
      </c>
      <c r="AW189" s="405">
        <f>VLOOKUP(Таблица7[[#This Row],[Основное оружие]], Оружие[#All], 2, 0)</f>
        <v>0</v>
      </c>
      <c r="AX189" s="405">
        <f>IF(ISBLANK(Таблица7[[#This Row],[Дополнительное оружие]]),"", VLOOKUP(Таблица7[[#This Row],[Дополнительное оружие]], Оружие[#All], 2, 0))</f>
        <v>4</v>
      </c>
      <c r="AY18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8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8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89" s="405">
        <f>VLOOKUP(Таблица7[[#This Row],[Основное оружие]], Оружие[#All], 3, 0)</f>
        <v>1</v>
      </c>
      <c r="BC189" s="405">
        <f>IF(ISBLANK(Таблица7[[#This Row],[Дополнительное оружие]]),"", VLOOKUP(Таблица7[[#This Row],[Дополнительное оружие]], Оружие[#All], 3, 0))</f>
        <v>3</v>
      </c>
      <c r="BD18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6</v>
      </c>
      <c r="BE18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18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8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8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8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89" s="405">
        <f>Таблица7[[#This Row],[Броня]]+Таблица7[[#This Row],[Щит]]+Таблица7[[#This Row],[навык защиты]]</f>
        <v>12</v>
      </c>
      <c r="BK189" s="1006"/>
      <c r="BL189" s="1006"/>
      <c r="BM189" s="384"/>
      <c r="BN189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89" s="384">
        <v>3</v>
      </c>
      <c r="BP189" s="384">
        <v>-2</v>
      </c>
      <c r="BQ189" s="384">
        <v>0</v>
      </c>
      <c r="BR189" s="384">
        <v>-4</v>
      </c>
      <c r="BS189" s="384">
        <v>-2</v>
      </c>
      <c r="BT189" s="384">
        <v>10</v>
      </c>
      <c r="BU189" s="980" t="s">
        <v>1576</v>
      </c>
      <c r="BV189" s="980" t="s">
        <v>1843</v>
      </c>
      <c r="BW189" s="384"/>
      <c r="BX189" s="384"/>
      <c r="BY189" s="384"/>
      <c r="BZ189" s="86"/>
    </row>
    <row r="190" spans="1:78" s="83" customFormat="1" ht="40.5" customHeight="1" x14ac:dyDescent="0.25">
      <c r="A190" s="333">
        <v>189</v>
      </c>
      <c r="B190" s="941" t="s">
        <v>1295</v>
      </c>
      <c r="C190" s="941" t="s">
        <v>2836</v>
      </c>
      <c r="D190" s="220" t="s">
        <v>1555</v>
      </c>
      <c r="E190" s="220" t="s">
        <v>1448</v>
      </c>
      <c r="F190" s="220"/>
      <c r="G190" s="220"/>
      <c r="H190" s="220"/>
      <c r="I190" s="652">
        <v>1</v>
      </c>
      <c r="J190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</v>
      </c>
      <c r="K190" s="603">
        <f>Таблица7[[#This Row],[Размер отряда минимум]]*1.25</f>
        <v>40</v>
      </c>
      <c r="L190" s="603">
        <f>Таблица7[[#This Row],[Размер отряда норма]]*1.5</f>
        <v>60</v>
      </c>
      <c r="M190" s="604">
        <f>Таблица7[[#This Row],[Размер отряда минимум]]*2.5</f>
        <v>80</v>
      </c>
      <c r="N190" s="604"/>
      <c r="O190" s="604"/>
      <c r="P190" s="604"/>
      <c r="Q190" s="604"/>
      <c r="R190" s="84" t="s">
        <v>11</v>
      </c>
      <c r="S190" s="941" t="s">
        <v>2808</v>
      </c>
      <c r="T190" s="220" t="s">
        <v>1032</v>
      </c>
      <c r="U190" s="942" t="s">
        <v>2837</v>
      </c>
      <c r="V190" s="943" t="s">
        <v>2838</v>
      </c>
      <c r="W190" s="221" t="s">
        <v>1001</v>
      </c>
      <c r="X190" s="220" t="s">
        <v>1528</v>
      </c>
      <c r="Y190" s="941" t="s">
        <v>2023</v>
      </c>
      <c r="Z190" s="220" t="s">
        <v>1511</v>
      </c>
      <c r="AA190" s="941" t="s">
        <v>2839</v>
      </c>
      <c r="AB190" s="220"/>
      <c r="AC190" s="220"/>
      <c r="AD190" s="796" t="s">
        <v>1477</v>
      </c>
      <c r="AE190" s="941" t="s">
        <v>2323</v>
      </c>
      <c r="AF190" s="220" t="s">
        <v>985</v>
      </c>
      <c r="AG190" s="220"/>
      <c r="AH190" s="220" t="s">
        <v>985</v>
      </c>
      <c r="AI190" s="220"/>
      <c r="AJ190" s="221" t="s">
        <v>1211</v>
      </c>
      <c r="AK190" s="221" t="s">
        <v>1963</v>
      </c>
      <c r="AL190" s="222" t="s">
        <v>1163</v>
      </c>
      <c r="AM190" s="220" t="s">
        <v>977</v>
      </c>
      <c r="AN190" s="941" t="s">
        <v>999</v>
      </c>
      <c r="AO190" s="941" t="s">
        <v>2032</v>
      </c>
      <c r="AP190" s="220" t="s">
        <v>1166</v>
      </c>
      <c r="AQ190" s="941" t="s">
        <v>2817</v>
      </c>
      <c r="AS190" s="83">
        <v>1500</v>
      </c>
      <c r="AT190" s="85"/>
      <c r="AU190" s="405">
        <v>7</v>
      </c>
      <c r="AV190" s="405"/>
      <c r="AW190" s="405">
        <f>VLOOKUP(Таблица7[[#This Row],[Основное оружие]], Оружие[#All], 2, 0)</f>
        <v>2</v>
      </c>
      <c r="AX190" s="405">
        <f>IF(ISBLANK(Таблица7[[#This Row],[Дополнительное оружие]]),"", VLOOKUP(Таблица7[[#This Row],[Дополнительное оружие]], Оружие[#All], 2, 0))</f>
        <v>3</v>
      </c>
      <c r="AY19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9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19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90" s="405">
        <f>VLOOKUP(Таблица7[[#This Row],[Основное оружие]], Оружие[#All], 3, 0)</f>
        <v>6</v>
      </c>
      <c r="BC190" s="405">
        <f>IF(ISBLANK(Таблица7[[#This Row],[Дополнительное оружие]]),"", VLOOKUP(Таблица7[[#This Row],[Дополнительное оружие]], Оружие[#All], 3, 0))</f>
        <v>3</v>
      </c>
      <c r="BD19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12</v>
      </c>
      <c r="BE19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9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15</v>
      </c>
      <c r="BH19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19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0" s="405">
        <f>Таблица7[[#This Row],[Броня]]+Таблица7[[#This Row],[Щит]]+Таблица7[[#This Row],[навык защиты]]</f>
        <v>17</v>
      </c>
      <c r="BK190" s="1006"/>
      <c r="BL190" s="1006"/>
      <c r="BM190" s="384"/>
      <c r="BN190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90" s="384">
        <v>3</v>
      </c>
      <c r="BP190" s="384">
        <v>-2</v>
      </c>
      <c r="BQ190" s="384">
        <v>0</v>
      </c>
      <c r="BR190" s="384">
        <v>-4</v>
      </c>
      <c r="BS190" s="384">
        <v>-2</v>
      </c>
      <c r="BT190" s="384">
        <v>11</v>
      </c>
      <c r="BU190" s="980" t="s">
        <v>1840</v>
      </c>
      <c r="BV190" s="980" t="s">
        <v>1844</v>
      </c>
      <c r="BW190" s="384"/>
      <c r="BX190" s="384"/>
      <c r="BY190" s="384"/>
      <c r="BZ190" s="86"/>
    </row>
    <row r="191" spans="1:78" s="83" customFormat="1" ht="40.5" customHeight="1" x14ac:dyDescent="0.25">
      <c r="A191" s="333">
        <v>190</v>
      </c>
      <c r="B191" s="287" t="s">
        <v>1296</v>
      </c>
      <c r="C191" s="941" t="s">
        <v>2840</v>
      </c>
      <c r="D191" s="220" t="s">
        <v>1556</v>
      </c>
      <c r="E191" s="220" t="s">
        <v>1570</v>
      </c>
      <c r="F191" s="220"/>
      <c r="G191" s="220"/>
      <c r="H191" s="220"/>
      <c r="I191" s="652">
        <v>0.6</v>
      </c>
      <c r="J191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54</v>
      </c>
      <c r="K191" s="603">
        <f>Таблица7[[#This Row],[Размер отряда минимум]]*1.25</f>
        <v>67.5</v>
      </c>
      <c r="L191" s="603">
        <f>Таблица7[[#This Row],[Размер отряда норма]]*1.5</f>
        <v>101.25</v>
      </c>
      <c r="M191" s="604">
        <f>Таблица7[[#This Row],[Размер отряда минимум]]*2.5</f>
        <v>135</v>
      </c>
      <c r="N191" s="604"/>
      <c r="O191" s="604"/>
      <c r="P191" s="604"/>
      <c r="Q191" s="604"/>
      <c r="R191" s="84" t="s">
        <v>11</v>
      </c>
      <c r="S191" s="941" t="s">
        <v>2808</v>
      </c>
      <c r="T191" s="220" t="s">
        <v>975</v>
      </c>
      <c r="U191" s="942" t="s">
        <v>2841</v>
      </c>
      <c r="V191" s="943" t="s">
        <v>2842</v>
      </c>
      <c r="W191" s="220" t="s">
        <v>1001</v>
      </c>
      <c r="X191" s="220" t="s">
        <v>1469</v>
      </c>
      <c r="Y191" s="220" t="s">
        <v>2056</v>
      </c>
      <c r="Z191" s="220" t="s">
        <v>1441</v>
      </c>
      <c r="AA191" s="941" t="s">
        <v>1934</v>
      </c>
      <c r="AB191" s="220"/>
      <c r="AC191" s="220"/>
      <c r="AD191" s="221" t="s">
        <v>985</v>
      </c>
      <c r="AE191" s="221"/>
      <c r="AF191" s="220" t="s">
        <v>985</v>
      </c>
      <c r="AG191" s="220"/>
      <c r="AH191" s="220" t="s">
        <v>985</v>
      </c>
      <c r="AI191" s="220"/>
      <c r="AJ191" s="221" t="s">
        <v>985</v>
      </c>
      <c r="AK191" s="221"/>
      <c r="AL191" s="222" t="s">
        <v>985</v>
      </c>
      <c r="AM191" s="220" t="s">
        <v>977</v>
      </c>
      <c r="AN191" s="941" t="s">
        <v>992</v>
      </c>
      <c r="AO191" s="941" t="s">
        <v>1904</v>
      </c>
      <c r="AP191" s="220" t="s">
        <v>1166</v>
      </c>
      <c r="AQ191" s="941" t="s">
        <v>2817</v>
      </c>
      <c r="AS191" s="83">
        <v>1500</v>
      </c>
      <c r="AT191" s="85">
        <v>1550</v>
      </c>
      <c r="AU191" s="405">
        <v>1</v>
      </c>
      <c r="AV191" s="405" t="s">
        <v>1827</v>
      </c>
      <c r="AW191" s="405">
        <f>VLOOKUP(Таблица7[[#This Row],[Основное оружие]], Оружие[#All], 2, 0)</f>
        <v>0</v>
      </c>
      <c r="AX191" s="405">
        <f>IF(ISBLANK(Таблица7[[#This Row],[Дополнительное оружие]]),"", VLOOKUP(Таблица7[[#This Row],[Дополнительное оружие]], Оружие[#All], 2, 0))</f>
        <v>4</v>
      </c>
      <c r="AY19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9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9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191" s="405">
        <f>VLOOKUP(Таблица7[[#This Row],[Основное оружие]], Оружие[#All], 3, 0)</f>
        <v>1</v>
      </c>
      <c r="BC191" s="405">
        <f>IF(ISBLANK(Таблица7[[#This Row],[Дополнительное оружие]]),"", VLOOKUP(Таблица7[[#This Row],[Дополнительное оружие]], Оружие[#All], 3, 0))</f>
        <v>3</v>
      </c>
      <c r="BD19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9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9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9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9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1" s="405">
        <f>Таблица7[[#This Row],[Броня]]+Таблица7[[#This Row],[Щит]]+Таблица7[[#This Row],[навык защиты]]</f>
        <v>3</v>
      </c>
      <c r="BK191" s="1006"/>
      <c r="BL191" s="1006"/>
      <c r="BM191" s="384"/>
      <c r="BN191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91" s="384">
        <v>3</v>
      </c>
      <c r="BP191" s="384">
        <v>1</v>
      </c>
      <c r="BQ191" s="384">
        <v>-2</v>
      </c>
      <c r="BR191" s="384">
        <v>2</v>
      </c>
      <c r="BS191" s="384">
        <v>2</v>
      </c>
      <c r="BT191" s="384">
        <v>6</v>
      </c>
      <c r="BU191" s="980" t="s">
        <v>1576</v>
      </c>
      <c r="BV191" s="980" t="s">
        <v>1843</v>
      </c>
      <c r="BW191" s="384"/>
      <c r="BX191" s="384"/>
      <c r="BY191" s="384"/>
      <c r="BZ191" s="86"/>
    </row>
    <row r="192" spans="1:78" s="83" customFormat="1" ht="40.5" customHeight="1" x14ac:dyDescent="0.25">
      <c r="A192" s="333">
        <v>191</v>
      </c>
      <c r="B192" s="287" t="s">
        <v>1297</v>
      </c>
      <c r="C192" s="941" t="s">
        <v>2849</v>
      </c>
      <c r="D192" s="220" t="s">
        <v>1556</v>
      </c>
      <c r="E192" s="220" t="s">
        <v>1570</v>
      </c>
      <c r="F192" s="220"/>
      <c r="G192" s="220"/>
      <c r="H192" s="220"/>
      <c r="I192" s="652">
        <v>0.75</v>
      </c>
      <c r="J192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192" s="603">
        <f>Таблица7[[#This Row],[Размер отряда минимум]]*1.25</f>
        <v>93.75</v>
      </c>
      <c r="L192" s="603">
        <f>Таблица7[[#This Row],[Размер отряда норма]]*1.5</f>
        <v>140.625</v>
      </c>
      <c r="M192" s="604">
        <f>Таблица7[[#This Row],[Размер отряда минимум]]*2.5</f>
        <v>187.5</v>
      </c>
      <c r="N192" s="604"/>
      <c r="O192" s="604"/>
      <c r="P192" s="604"/>
      <c r="Q192" s="604"/>
      <c r="R192" s="84" t="s">
        <v>11</v>
      </c>
      <c r="S192" s="941" t="s">
        <v>2808</v>
      </c>
      <c r="T192" s="220" t="s">
        <v>976</v>
      </c>
      <c r="U192" s="942" t="s">
        <v>2851</v>
      </c>
      <c r="V192" s="943" t="s">
        <v>2850</v>
      </c>
      <c r="W192" s="220" t="s">
        <v>1001</v>
      </c>
      <c r="X192" s="220" t="s">
        <v>1689</v>
      </c>
      <c r="Y192" s="220" t="s">
        <v>2409</v>
      </c>
      <c r="Z192" s="220" t="s">
        <v>1441</v>
      </c>
      <c r="AA192" s="941" t="s">
        <v>1934</v>
      </c>
      <c r="AB192" s="220"/>
      <c r="AC192" s="220"/>
      <c r="AD192" s="221" t="s">
        <v>985</v>
      </c>
      <c r="AE192" s="221"/>
      <c r="AF192" s="220" t="s">
        <v>991</v>
      </c>
      <c r="AG192" s="941" t="s">
        <v>1951</v>
      </c>
      <c r="AH192" s="220" t="s">
        <v>985</v>
      </c>
      <c r="AI192" s="220"/>
      <c r="AJ192" s="221" t="s">
        <v>985</v>
      </c>
      <c r="AK192" s="221"/>
      <c r="AL192" s="222" t="s">
        <v>985</v>
      </c>
      <c r="AM192" s="220" t="s">
        <v>977</v>
      </c>
      <c r="AN192" s="941" t="s">
        <v>2380</v>
      </c>
      <c r="AO192" s="941" t="s">
        <v>2063</v>
      </c>
      <c r="AP192" s="220" t="s">
        <v>1166</v>
      </c>
      <c r="AQ192" s="941" t="s">
        <v>2817</v>
      </c>
      <c r="AS192" s="83">
        <v>1550</v>
      </c>
      <c r="AT192" s="85"/>
      <c r="AU192" s="405">
        <v>2</v>
      </c>
      <c r="AV192" s="405" t="s">
        <v>1827</v>
      </c>
      <c r="AW192" s="405">
        <f>VLOOKUP(Таблица7[[#This Row],[Основное оружие]], Оружие[#All], 2, 0)</f>
        <v>0</v>
      </c>
      <c r="AX192" s="405">
        <f>IF(ISBLANK(Таблица7[[#This Row],[Дополнительное оружие]]),"", VLOOKUP(Таблица7[[#This Row],[Дополнительное оружие]], Оружие[#All], 2, 0))</f>
        <v>4</v>
      </c>
      <c r="AY19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19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9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192" s="405">
        <f>VLOOKUP(Таблица7[[#This Row],[Основное оружие]], Оружие[#All], 3, 0)</f>
        <v>1</v>
      </c>
      <c r="BC192" s="405">
        <f>IF(ISBLANK(Таблица7[[#This Row],[Дополнительное оружие]]),"", VLOOKUP(Таблица7[[#This Row],[Дополнительное оружие]], Оружие[#All], 3, 0))</f>
        <v>3</v>
      </c>
      <c r="BD19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9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19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9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19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2" s="405">
        <f>Таблица7[[#This Row],[Броня]]+Таблица7[[#This Row],[Щит]]+Таблица7[[#This Row],[навык защиты]]</f>
        <v>4</v>
      </c>
      <c r="BK192" s="1006"/>
      <c r="BL192" s="1006"/>
      <c r="BM192" s="384"/>
      <c r="BN192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92" s="384">
        <v>3</v>
      </c>
      <c r="BP192" s="384">
        <v>1</v>
      </c>
      <c r="BQ192" s="384">
        <v>-2</v>
      </c>
      <c r="BR192" s="384">
        <v>2</v>
      </c>
      <c r="BS192" s="384">
        <v>2</v>
      </c>
      <c r="BT192" s="384">
        <v>7</v>
      </c>
      <c r="BU192" s="980" t="s">
        <v>1576</v>
      </c>
      <c r="BV192" s="980" t="s">
        <v>1843</v>
      </c>
      <c r="BW192" s="384"/>
      <c r="BX192" s="384"/>
      <c r="BY192" s="384"/>
      <c r="BZ192" s="86"/>
    </row>
    <row r="193" spans="1:78" s="83" customFormat="1" ht="40.5" customHeight="1" x14ac:dyDescent="0.25">
      <c r="A193" s="333">
        <v>192</v>
      </c>
      <c r="B193" s="317" t="s">
        <v>1429</v>
      </c>
      <c r="C193" s="941" t="s">
        <v>2852</v>
      </c>
      <c r="D193" s="220" t="s">
        <v>1556</v>
      </c>
      <c r="E193" s="220" t="s">
        <v>1570</v>
      </c>
      <c r="F193" s="220"/>
      <c r="G193" s="220"/>
      <c r="H193" s="220"/>
      <c r="I193" s="652">
        <v>0.75</v>
      </c>
      <c r="J193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193" s="603">
        <f>Таблица7[[#This Row],[Размер отряда минимум]]*1.25</f>
        <v>93.75</v>
      </c>
      <c r="L193" s="603">
        <f>Таблица7[[#This Row],[Размер отряда норма]]*1.5</f>
        <v>140.625</v>
      </c>
      <c r="M193" s="604">
        <f>Таблица7[[#This Row],[Размер отряда минимум]]*2.5</f>
        <v>187.5</v>
      </c>
      <c r="N193" s="604"/>
      <c r="O193" s="604"/>
      <c r="P193" s="604"/>
      <c r="Q193" s="604"/>
      <c r="R193" s="84" t="s">
        <v>11</v>
      </c>
      <c r="S193" s="941" t="s">
        <v>2808</v>
      </c>
      <c r="T193" s="220" t="s">
        <v>976</v>
      </c>
      <c r="U193" s="942" t="s">
        <v>2853</v>
      </c>
      <c r="V193" s="943" t="s">
        <v>2854</v>
      </c>
      <c r="W193" s="220" t="s">
        <v>1001</v>
      </c>
      <c r="X193" s="220" t="s">
        <v>1689</v>
      </c>
      <c r="Y193" s="220" t="s">
        <v>2409</v>
      </c>
      <c r="Z193" s="220" t="s">
        <v>1063</v>
      </c>
      <c r="AA193" s="220" t="s">
        <v>1926</v>
      </c>
      <c r="AB193" s="220"/>
      <c r="AC193" s="220"/>
      <c r="AD193" s="942" t="s">
        <v>2825</v>
      </c>
      <c r="AE193" s="941" t="s">
        <v>2816</v>
      </c>
      <c r="AF193" s="220" t="s">
        <v>1485</v>
      </c>
      <c r="AG193" s="941" t="s">
        <v>2815</v>
      </c>
      <c r="AH193" s="220" t="s">
        <v>985</v>
      </c>
      <c r="AI193" s="220"/>
      <c r="AJ193" s="221" t="s">
        <v>985</v>
      </c>
      <c r="AK193" s="221"/>
      <c r="AL193" s="222" t="s">
        <v>985</v>
      </c>
      <c r="AM193" s="220" t="s">
        <v>978</v>
      </c>
      <c r="AN193" s="941" t="s">
        <v>2380</v>
      </c>
      <c r="AO193" s="941" t="s">
        <v>2063</v>
      </c>
      <c r="AP193" s="220" t="s">
        <v>1171</v>
      </c>
      <c r="AQ193" s="941" t="s">
        <v>2855</v>
      </c>
      <c r="AS193" s="83">
        <v>1550</v>
      </c>
      <c r="AT193" s="85"/>
      <c r="AU193" s="405">
        <v>3</v>
      </c>
      <c r="AV193" s="405" t="s">
        <v>1827</v>
      </c>
      <c r="AW193" s="405">
        <f>VLOOKUP(Таблица7[[#This Row],[Основное оружие]], Оружие[#All], 2, 0)</f>
        <v>0</v>
      </c>
      <c r="AX193" s="405">
        <f>IF(ISBLANK(Таблица7[[#This Row],[Дополнительное оружие]]),"", VLOOKUP(Таблица7[[#This Row],[Дополнительное оружие]], Оружие[#All], 2, 0))</f>
        <v>5</v>
      </c>
      <c r="AY19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19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9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193" s="405">
        <f>VLOOKUP(Таблица7[[#This Row],[Основное оружие]], Оружие[#All], 3, 0)</f>
        <v>1</v>
      </c>
      <c r="BC193" s="405">
        <f>IF(ISBLANK(Таблица7[[#This Row],[Дополнительное оружие]]),"", VLOOKUP(Таблица7[[#This Row],[Дополнительное оружие]], Оружие[#All], 3, 0))</f>
        <v>8</v>
      </c>
      <c r="BD19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6</v>
      </c>
      <c r="BE19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7</v>
      </c>
      <c r="BF19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9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19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3" s="405">
        <f>Таблица7[[#This Row],[Броня]]+Таблица7[[#This Row],[Щит]]+Таблица7[[#This Row],[навык защиты]]</f>
        <v>10</v>
      </c>
      <c r="BK193" s="1006"/>
      <c r="BL193" s="1006"/>
      <c r="BM193" s="384"/>
      <c r="BN193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93" s="384">
        <v>3</v>
      </c>
      <c r="BP193" s="384">
        <v>0</v>
      </c>
      <c r="BQ193" s="384">
        <v>-2</v>
      </c>
      <c r="BR193" s="384">
        <v>0</v>
      </c>
      <c r="BS193" s="384">
        <v>2</v>
      </c>
      <c r="BT193" s="384">
        <v>7</v>
      </c>
      <c r="BU193" s="980" t="s">
        <v>1576</v>
      </c>
      <c r="BV193" s="980" t="s">
        <v>1843</v>
      </c>
      <c r="BW193" s="384"/>
      <c r="BX193" s="384"/>
      <c r="BY193" s="384"/>
      <c r="BZ193" s="86"/>
    </row>
    <row r="194" spans="1:78" s="83" customFormat="1" ht="40.5" customHeight="1" x14ac:dyDescent="0.25">
      <c r="A194" s="333">
        <v>193</v>
      </c>
      <c r="B194" s="941" t="s">
        <v>2856</v>
      </c>
      <c r="C194" s="941" t="s">
        <v>2857</v>
      </c>
      <c r="D194" s="220" t="s">
        <v>1556</v>
      </c>
      <c r="E194" s="220" t="s">
        <v>1570</v>
      </c>
      <c r="F194" s="220"/>
      <c r="G194" s="220"/>
      <c r="H194" s="220"/>
      <c r="I194" s="652">
        <v>0.75</v>
      </c>
      <c r="J194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194" s="603">
        <f>Таблица7[[#This Row],[Размер отряда минимум]]*1.25</f>
        <v>93.75</v>
      </c>
      <c r="L194" s="603">
        <f>Таблица7[[#This Row],[Размер отряда норма]]*1.5</f>
        <v>140.625</v>
      </c>
      <c r="M194" s="604">
        <f>Таблица7[[#This Row],[Размер отряда минимум]]*2.5</f>
        <v>187.5</v>
      </c>
      <c r="N194" s="604"/>
      <c r="O194" s="604"/>
      <c r="P194" s="604"/>
      <c r="Q194" s="604"/>
      <c r="R194" s="84" t="s">
        <v>11</v>
      </c>
      <c r="S194" s="941" t="s">
        <v>2808</v>
      </c>
      <c r="T194" s="235" t="s">
        <v>1032</v>
      </c>
      <c r="U194" s="942" t="s">
        <v>2858</v>
      </c>
      <c r="V194" s="943" t="s">
        <v>2859</v>
      </c>
      <c r="W194" s="220" t="s">
        <v>984</v>
      </c>
      <c r="X194" s="220" t="s">
        <v>1688</v>
      </c>
      <c r="Y194" s="220" t="s">
        <v>1941</v>
      </c>
      <c r="Z194" s="220" t="s">
        <v>1441</v>
      </c>
      <c r="AA194" s="941" t="s">
        <v>1934</v>
      </c>
      <c r="AB194" s="220"/>
      <c r="AC194" s="220"/>
      <c r="AD194" s="221" t="s">
        <v>985</v>
      </c>
      <c r="AE194" s="221"/>
      <c r="AF194" s="220" t="s">
        <v>985</v>
      </c>
      <c r="AG194" s="220"/>
      <c r="AH194" s="220" t="s">
        <v>985</v>
      </c>
      <c r="AI194" s="220"/>
      <c r="AJ194" s="221" t="s">
        <v>985</v>
      </c>
      <c r="AK194" s="221"/>
      <c r="AL194" s="222" t="s">
        <v>985</v>
      </c>
      <c r="AM194" s="220" t="s">
        <v>978</v>
      </c>
      <c r="AN194" s="941" t="s">
        <v>992</v>
      </c>
      <c r="AO194" s="941" t="s">
        <v>1904</v>
      </c>
      <c r="AP194" s="220" t="s">
        <v>1168</v>
      </c>
      <c r="AQ194" s="941" t="s">
        <v>2823</v>
      </c>
      <c r="AS194" s="83">
        <v>1500</v>
      </c>
      <c r="AT194" s="85"/>
      <c r="AU194" s="405">
        <v>5</v>
      </c>
      <c r="AV194" s="405" t="s">
        <v>1828</v>
      </c>
      <c r="AW194" s="405">
        <f>VLOOKUP(Таблица7[[#This Row],[Основное оружие]], Оружие[#All], 2, 0)</f>
        <v>0</v>
      </c>
      <c r="AX194" s="405">
        <f>IF(ISBLANK(Таблица7[[#This Row],[Дополнительное оружие]]),"", VLOOKUP(Таблица7[[#This Row],[Дополнительное оружие]], Оружие[#All], 2, 0))</f>
        <v>4</v>
      </c>
      <c r="AY19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19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9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194" s="405">
        <f>VLOOKUP(Таблица7[[#This Row],[Основное оружие]], Оружие[#All], 3, 0)</f>
        <v>1</v>
      </c>
      <c r="BC194" s="405">
        <f>IF(ISBLANK(Таблица7[[#This Row],[Дополнительное оружие]]),"", VLOOKUP(Таблица7[[#This Row],[Дополнительное оружие]], Оружие[#All], 3, 0))</f>
        <v>3</v>
      </c>
      <c r="BD19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9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9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9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9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4" s="405">
        <f>Таблица7[[#This Row],[Броня]]+Таблица7[[#This Row],[Щит]]+Таблица7[[#This Row],[навык защиты]]</f>
        <v>7</v>
      </c>
      <c r="BK194" s="1006"/>
      <c r="BL194" s="1006"/>
      <c r="BM194" s="384"/>
      <c r="BN194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94" s="384">
        <v>1</v>
      </c>
      <c r="BP194" s="384">
        <v>1</v>
      </c>
      <c r="BQ194" s="384">
        <v>0</v>
      </c>
      <c r="BR194" s="384">
        <v>2</v>
      </c>
      <c r="BS194" s="384">
        <v>0</v>
      </c>
      <c r="BT194" s="384">
        <v>7</v>
      </c>
      <c r="BU194" s="980" t="s">
        <v>1576</v>
      </c>
      <c r="BV194" s="980" t="s">
        <v>1842</v>
      </c>
      <c r="BW194" s="384"/>
      <c r="BX194" s="384"/>
      <c r="BY194" s="384"/>
      <c r="BZ194" s="86"/>
    </row>
    <row r="195" spans="1:78" s="83" customFormat="1" ht="40.5" customHeight="1" x14ac:dyDescent="0.25">
      <c r="A195" s="333">
        <v>194</v>
      </c>
      <c r="B195" s="317" t="s">
        <v>1428</v>
      </c>
      <c r="C195" s="941" t="s">
        <v>2860</v>
      </c>
      <c r="D195" s="220" t="s">
        <v>1555</v>
      </c>
      <c r="E195" s="220" t="s">
        <v>1570</v>
      </c>
      <c r="F195" s="220"/>
      <c r="G195" s="220"/>
      <c r="H195" s="220"/>
      <c r="I195" s="652">
        <v>1</v>
      </c>
      <c r="J195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195" s="603">
        <f>Таблица7[[#This Row],[Размер отряда минимум]]*1.25</f>
        <v>50</v>
      </c>
      <c r="L195" s="603">
        <f>Таблица7[[#This Row],[Размер отряда норма]]*1.5</f>
        <v>75</v>
      </c>
      <c r="M195" s="604">
        <f>Таблица7[[#This Row],[Размер отряда минимум]]*2.5</f>
        <v>100</v>
      </c>
      <c r="N195" s="604"/>
      <c r="O195" s="604"/>
      <c r="P195" s="604"/>
      <c r="Q195" s="604"/>
      <c r="R195" s="84" t="s">
        <v>11</v>
      </c>
      <c r="S195" s="941" t="s">
        <v>2808</v>
      </c>
      <c r="T195" s="220" t="s">
        <v>976</v>
      </c>
      <c r="U195" s="942" t="s">
        <v>2861</v>
      </c>
      <c r="V195" s="943" t="s">
        <v>2862</v>
      </c>
      <c r="W195" s="221" t="s">
        <v>984</v>
      </c>
      <c r="X195" s="220" t="s">
        <v>1469</v>
      </c>
      <c r="Y195" s="220" t="s">
        <v>2056</v>
      </c>
      <c r="Z195" s="220" t="s">
        <v>1441</v>
      </c>
      <c r="AA195" s="941" t="s">
        <v>1934</v>
      </c>
      <c r="AB195" s="220"/>
      <c r="AC195" s="220"/>
      <c r="AD195" s="221" t="s">
        <v>985</v>
      </c>
      <c r="AE195" s="221"/>
      <c r="AF195" s="220" t="s">
        <v>991</v>
      </c>
      <c r="AG195" s="941" t="s">
        <v>1951</v>
      </c>
      <c r="AH195" s="220" t="s">
        <v>985</v>
      </c>
      <c r="AI195" s="220"/>
      <c r="AJ195" s="221" t="s">
        <v>985</v>
      </c>
      <c r="AK195" s="221"/>
      <c r="AL195" s="222" t="s">
        <v>985</v>
      </c>
      <c r="AM195" s="220" t="s">
        <v>977</v>
      </c>
      <c r="AN195" s="941" t="s">
        <v>999</v>
      </c>
      <c r="AO195" s="941" t="s">
        <v>2032</v>
      </c>
      <c r="AP195" s="220" t="s">
        <v>1166</v>
      </c>
      <c r="AQ195" s="941" t="s">
        <v>2817</v>
      </c>
      <c r="AS195" s="83">
        <v>1560</v>
      </c>
      <c r="AT195" s="85"/>
      <c r="AU195" s="405">
        <v>7</v>
      </c>
      <c r="AV195" s="405" t="s">
        <v>1828</v>
      </c>
      <c r="AW195" s="405">
        <f>VLOOKUP(Таблица7[[#This Row],[Основное оружие]], Оружие[#All], 2, 0)</f>
        <v>0</v>
      </c>
      <c r="AX195" s="405">
        <f>IF(ISBLANK(Таблица7[[#This Row],[Дополнительное оружие]]),"", VLOOKUP(Таблица7[[#This Row],[Дополнительное оружие]], Оружие[#All], 2, 0))</f>
        <v>4</v>
      </c>
      <c r="AY19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9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9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95" s="405">
        <f>VLOOKUP(Таблица7[[#This Row],[Основное оружие]], Оружие[#All], 3, 0)</f>
        <v>1</v>
      </c>
      <c r="BC195" s="405">
        <f>IF(ISBLANK(Таблица7[[#This Row],[Дополнительное оружие]]),"", VLOOKUP(Таблица7[[#This Row],[Дополнительное оружие]], Оружие[#All], 3, 0))</f>
        <v>3</v>
      </c>
      <c r="BD19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9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19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9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19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5" s="405">
        <f>Таблица7[[#This Row],[Броня]]+Таблица7[[#This Row],[Щит]]+Таблица7[[#This Row],[навык защиты]]</f>
        <v>7</v>
      </c>
      <c r="BK195" s="1008" t="s">
        <v>1589</v>
      </c>
      <c r="BL195" s="1008"/>
      <c r="BM195" s="384"/>
      <c r="BN195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95" s="384">
        <v>3</v>
      </c>
      <c r="BP195" s="384">
        <v>-2</v>
      </c>
      <c r="BQ195" s="384">
        <v>0</v>
      </c>
      <c r="BR195" s="384">
        <v>-4</v>
      </c>
      <c r="BS195" s="384">
        <v>-2</v>
      </c>
      <c r="BT195" s="384">
        <v>11</v>
      </c>
      <c r="BU195" s="980" t="s">
        <v>1840</v>
      </c>
      <c r="BV195" s="980" t="s">
        <v>1844</v>
      </c>
      <c r="BW195" s="384"/>
      <c r="BX195" s="384"/>
      <c r="BY195" s="384"/>
      <c r="BZ195" s="86"/>
    </row>
    <row r="196" spans="1:78" s="83" customFormat="1" ht="40.5" customHeight="1" x14ac:dyDescent="0.25">
      <c r="A196" s="333">
        <v>195</v>
      </c>
      <c r="B196" s="287" t="s">
        <v>1298</v>
      </c>
      <c r="C196" s="941" t="s">
        <v>2863</v>
      </c>
      <c r="D196" s="220" t="s">
        <v>1555</v>
      </c>
      <c r="E196" s="220" t="s">
        <v>1559</v>
      </c>
      <c r="F196" s="220"/>
      <c r="G196" s="220"/>
      <c r="H196" s="220"/>
      <c r="I196" s="652">
        <v>0.6</v>
      </c>
      <c r="J196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19.2</v>
      </c>
      <c r="K196" s="603">
        <f>Таблица7[[#This Row],[Размер отряда минимум]]*1.25</f>
        <v>24</v>
      </c>
      <c r="L196" s="603">
        <f>Таблица7[[#This Row],[Размер отряда норма]]*1.5</f>
        <v>36</v>
      </c>
      <c r="M196" s="604">
        <f>Таблица7[[#This Row],[Размер отряда минимум]]*2.5</f>
        <v>48</v>
      </c>
      <c r="N196" s="604"/>
      <c r="O196" s="604"/>
      <c r="P196" s="604"/>
      <c r="Q196" s="604"/>
      <c r="R196" s="84" t="s">
        <v>11</v>
      </c>
      <c r="S196" s="941" t="s">
        <v>2808</v>
      </c>
      <c r="T196" s="235" t="s">
        <v>1032</v>
      </c>
      <c r="U196" s="942" t="s">
        <v>2864</v>
      </c>
      <c r="V196" s="943" t="s">
        <v>2865</v>
      </c>
      <c r="W196" s="220" t="s">
        <v>1001</v>
      </c>
      <c r="X196" s="435" t="s">
        <v>1528</v>
      </c>
      <c r="Y196" s="941" t="s">
        <v>2023</v>
      </c>
      <c r="Z196" s="220" t="s">
        <v>1511</v>
      </c>
      <c r="AA196" s="941" t="s">
        <v>2839</v>
      </c>
      <c r="AB196" s="220"/>
      <c r="AC196" s="220"/>
      <c r="AD196" s="221" t="s">
        <v>1477</v>
      </c>
      <c r="AE196" s="220" t="s">
        <v>2323</v>
      </c>
      <c r="AF196" s="220" t="s">
        <v>985</v>
      </c>
      <c r="AG196" s="220"/>
      <c r="AH196" s="220" t="s">
        <v>985</v>
      </c>
      <c r="AI196" s="220"/>
      <c r="AJ196" s="942" t="s">
        <v>2325</v>
      </c>
      <c r="AK196" s="271" t="s">
        <v>2324</v>
      </c>
      <c r="AL196" s="222" t="s">
        <v>1163</v>
      </c>
      <c r="AM196" s="220" t="s">
        <v>952</v>
      </c>
      <c r="AN196" s="220" t="s">
        <v>952</v>
      </c>
      <c r="AO196" s="941" t="s">
        <v>1871</v>
      </c>
      <c r="AP196" s="941" t="s">
        <v>952</v>
      </c>
      <c r="AQ196" s="941" t="s">
        <v>1871</v>
      </c>
      <c r="AS196" s="83">
        <v>1500</v>
      </c>
      <c r="AT196" s="85"/>
      <c r="AU196" s="405">
        <v>10</v>
      </c>
      <c r="AV196" s="405"/>
      <c r="AW196" s="405">
        <f>VLOOKUP(Таблица7[[#This Row],[Основное оружие]], Оружие[#All], 2, 0)</f>
        <v>2</v>
      </c>
      <c r="AX196" s="405">
        <f>IF(ISBLANK(Таблица7[[#This Row],[Дополнительное оружие]]),"", VLOOKUP(Таблица7[[#This Row],[Дополнительное оружие]], Оружие[#All], 2, 0))</f>
        <v>3</v>
      </c>
      <c r="AY19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9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9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96" s="405">
        <f>VLOOKUP(Таблица7[[#This Row],[Основное оружие]], Оружие[#All], 3, 0)</f>
        <v>6</v>
      </c>
      <c r="BC196" s="405">
        <f>IF(ISBLANK(Таблица7[[#This Row],[Дополнительное оружие]]),"", VLOOKUP(Таблица7[[#This Row],[Дополнительное оружие]], Оружие[#All], 3, 0))</f>
        <v>3</v>
      </c>
      <c r="BD19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12</v>
      </c>
      <c r="BE19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19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6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18</v>
      </c>
      <c r="BH19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19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6" s="405">
        <f>Таблица7[[#This Row],[Броня]]+Таблица7[[#This Row],[Щит]]+Таблица7[[#This Row],[навык защиты]]</f>
        <v>20</v>
      </c>
      <c r="BK196" s="1006"/>
      <c r="BL196" s="1006"/>
      <c r="BM196" s="384"/>
      <c r="BN196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196" s="384">
        <v>3</v>
      </c>
      <c r="BP196" s="384">
        <v>-2</v>
      </c>
      <c r="BQ196" s="384">
        <v>0</v>
      </c>
      <c r="BR196" s="384">
        <v>-4</v>
      </c>
      <c r="BS196" s="384">
        <v>-2</v>
      </c>
      <c r="BT196" s="384">
        <v>11</v>
      </c>
      <c r="BU196" s="980" t="s">
        <v>1840</v>
      </c>
      <c r="BV196" s="980" t="s">
        <v>1844</v>
      </c>
      <c r="BW196" s="384"/>
      <c r="BX196" s="384"/>
      <c r="BY196" s="384"/>
      <c r="BZ196" s="86"/>
    </row>
    <row r="197" spans="1:78" s="83" customFormat="1" ht="40.5" customHeight="1" x14ac:dyDescent="0.25">
      <c r="A197" s="333">
        <v>196</v>
      </c>
      <c r="B197" s="287" t="s">
        <v>1299</v>
      </c>
      <c r="C197" s="941" t="s">
        <v>2868</v>
      </c>
      <c r="D197" s="220" t="s">
        <v>1555</v>
      </c>
      <c r="E197" s="220" t="s">
        <v>1448</v>
      </c>
      <c r="F197" s="220"/>
      <c r="G197" s="220"/>
      <c r="H197" s="220"/>
      <c r="I197" s="652">
        <v>1</v>
      </c>
      <c r="J197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</v>
      </c>
      <c r="K197" s="603">
        <f>Таблица7[[#This Row],[Размер отряда минимум]]*1.25</f>
        <v>40</v>
      </c>
      <c r="L197" s="603">
        <f>Таблица7[[#This Row],[Размер отряда норма]]*1.5</f>
        <v>60</v>
      </c>
      <c r="M197" s="604">
        <f>Таблица7[[#This Row],[Размер отряда минимум]]*2.5</f>
        <v>80</v>
      </c>
      <c r="N197" s="604"/>
      <c r="O197" s="604"/>
      <c r="P197" s="604"/>
      <c r="Q197" s="604"/>
      <c r="R197" s="84" t="s">
        <v>11</v>
      </c>
      <c r="S197" s="941" t="s">
        <v>2808</v>
      </c>
      <c r="T197" s="220" t="s">
        <v>976</v>
      </c>
      <c r="U197" s="942" t="s">
        <v>2869</v>
      </c>
      <c r="V197" s="943" t="s">
        <v>2870</v>
      </c>
      <c r="W197" s="220" t="s">
        <v>1001</v>
      </c>
      <c r="X197" s="220" t="s">
        <v>1528</v>
      </c>
      <c r="Y197" s="941" t="s">
        <v>2023</v>
      </c>
      <c r="Z197" s="220" t="s">
        <v>1441</v>
      </c>
      <c r="AA197" s="941" t="s">
        <v>1934</v>
      </c>
      <c r="AB197" s="220"/>
      <c r="AC197" s="220"/>
      <c r="AD197" s="221" t="s">
        <v>1172</v>
      </c>
      <c r="AE197" s="221" t="s">
        <v>2322</v>
      </c>
      <c r="AF197" s="220" t="s">
        <v>1477</v>
      </c>
      <c r="AG197" s="220" t="s">
        <v>2323</v>
      </c>
      <c r="AH197" s="220" t="s">
        <v>985</v>
      </c>
      <c r="AI197" s="220"/>
      <c r="AJ197" s="221" t="s">
        <v>985</v>
      </c>
      <c r="AK197" s="221"/>
      <c r="AL197" s="222" t="s">
        <v>985</v>
      </c>
      <c r="AM197" s="928" t="s">
        <v>935</v>
      </c>
      <c r="AN197" s="941" t="s">
        <v>2383</v>
      </c>
      <c r="AO197" s="941" t="s">
        <v>1983</v>
      </c>
      <c r="AP197" s="941" t="s">
        <v>2871</v>
      </c>
      <c r="AQ197" s="941" t="s">
        <v>2872</v>
      </c>
      <c r="AS197" s="83">
        <v>1550</v>
      </c>
      <c r="AT197" s="85"/>
      <c r="AU197" s="405">
        <v>9</v>
      </c>
      <c r="AV197" s="405"/>
      <c r="AW197" s="405">
        <f>VLOOKUP(Таблица7[[#This Row],[Основное оружие]], Оружие[#All], 2, 0)</f>
        <v>2</v>
      </c>
      <c r="AX197" s="405">
        <f>IF(ISBLANK(Таблица7[[#This Row],[Дополнительное оружие]]),"", VLOOKUP(Таблица7[[#This Row],[Дополнительное оружие]], Оружие[#All], 2, 0))</f>
        <v>4</v>
      </c>
      <c r="AY19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19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19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197" s="405">
        <f>VLOOKUP(Таблица7[[#This Row],[Основное оружие]], Оружие[#All], 3, 0)</f>
        <v>6</v>
      </c>
      <c r="BC197" s="405">
        <f>IF(ISBLANK(Таблица7[[#This Row],[Дополнительное оружие]]),"", VLOOKUP(Таблица7[[#This Row],[Дополнительное оружие]], Оружие[#All], 3, 0))</f>
        <v>3</v>
      </c>
      <c r="BD19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19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10</v>
      </c>
      <c r="BF19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9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19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7" s="405">
        <f>Таблица7[[#This Row],[Броня]]+Таблица7[[#This Row],[Щит]]+Таблица7[[#This Row],[навык защиты]]</f>
        <v>15</v>
      </c>
      <c r="BK197" s="1006"/>
      <c r="BL197" s="1006"/>
      <c r="BM197" s="384"/>
      <c r="BN197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97" s="384">
        <v>3</v>
      </c>
      <c r="BP197" s="384">
        <v>-2</v>
      </c>
      <c r="BQ197" s="384">
        <v>0</v>
      </c>
      <c r="BR197" s="384">
        <v>-4</v>
      </c>
      <c r="BS197" s="384">
        <v>-2</v>
      </c>
      <c r="BT197" s="692" t="s">
        <v>1832</v>
      </c>
      <c r="BU197" s="980" t="s">
        <v>1840</v>
      </c>
      <c r="BV197" s="980" t="s">
        <v>1844</v>
      </c>
      <c r="BW197" s="384"/>
      <c r="BX197" s="384"/>
      <c r="BY197" s="384"/>
      <c r="BZ197" s="86"/>
    </row>
    <row r="198" spans="1:78" s="83" customFormat="1" ht="40.5" customHeight="1" x14ac:dyDescent="0.25">
      <c r="A198" s="333">
        <v>197</v>
      </c>
      <c r="B198" s="287" t="s">
        <v>1300</v>
      </c>
      <c r="C198" s="941" t="s">
        <v>2873</v>
      </c>
      <c r="D198" s="220" t="s">
        <v>1556</v>
      </c>
      <c r="E198" s="220" t="s">
        <v>1559</v>
      </c>
      <c r="F198" s="220"/>
      <c r="G198" s="220"/>
      <c r="H198" s="220"/>
      <c r="I198" s="652">
        <v>0.6</v>
      </c>
      <c r="J198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54</v>
      </c>
      <c r="K198" s="603">
        <f>Таблица7[[#This Row],[Размер отряда минимум]]*1.25</f>
        <v>67.5</v>
      </c>
      <c r="L198" s="603">
        <f>Таблица7[[#This Row],[Размер отряда норма]]*1.5</f>
        <v>101.25</v>
      </c>
      <c r="M198" s="604">
        <f>Таблица7[[#This Row],[Размер отряда минимум]]*2.5</f>
        <v>135</v>
      </c>
      <c r="N198" s="604"/>
      <c r="O198" s="604"/>
      <c r="P198" s="604"/>
      <c r="Q198" s="604"/>
      <c r="R198" s="84" t="s">
        <v>11</v>
      </c>
      <c r="S198" s="941" t="s">
        <v>2808</v>
      </c>
      <c r="T198" s="220" t="s">
        <v>976</v>
      </c>
      <c r="U198" s="942" t="s">
        <v>2874</v>
      </c>
      <c r="V198" s="943" t="s">
        <v>2875</v>
      </c>
      <c r="W198" s="220" t="s">
        <v>1001</v>
      </c>
      <c r="X198" s="435" t="s">
        <v>1063</v>
      </c>
      <c r="Y198" s="220" t="s">
        <v>1926</v>
      </c>
      <c r="Z198" s="220" t="s">
        <v>1441</v>
      </c>
      <c r="AA198" s="941" t="s">
        <v>1934</v>
      </c>
      <c r="AB198" s="220"/>
      <c r="AC198" s="220"/>
      <c r="AD198" s="221" t="s">
        <v>1172</v>
      </c>
      <c r="AE198" s="221" t="s">
        <v>2322</v>
      </c>
      <c r="AF198" s="220" t="s">
        <v>1477</v>
      </c>
      <c r="AG198" s="220" t="s">
        <v>2323</v>
      </c>
      <c r="AH198" s="220" t="s">
        <v>985</v>
      </c>
      <c r="AI198" s="220"/>
      <c r="AJ198" s="221" t="s">
        <v>1075</v>
      </c>
      <c r="AK198" s="942" t="s">
        <v>1982</v>
      </c>
      <c r="AL198" s="222" t="s">
        <v>985</v>
      </c>
      <c r="AM198" s="928" t="s">
        <v>935</v>
      </c>
      <c r="AN198" s="941" t="s">
        <v>2383</v>
      </c>
      <c r="AO198" s="941" t="s">
        <v>1983</v>
      </c>
      <c r="AP198" s="941" t="s">
        <v>2871</v>
      </c>
      <c r="AQ198" s="941" t="s">
        <v>2872</v>
      </c>
      <c r="AS198" s="83">
        <v>1550</v>
      </c>
      <c r="AT198" s="85"/>
      <c r="AU198" s="405">
        <v>9</v>
      </c>
      <c r="AV198" s="405"/>
      <c r="AW198" s="405">
        <f>VLOOKUP(Таблица7[[#This Row],[Основное оружие]], Оружие[#All], 2, 0)</f>
        <v>5</v>
      </c>
      <c r="AX198" s="405">
        <f>IF(ISBLANK(Таблица7[[#This Row],[Дополнительное оружие]]),"", VLOOKUP(Таблица7[[#This Row],[Дополнительное оружие]], Оружие[#All], 2, 0))</f>
        <v>4</v>
      </c>
      <c r="AY19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19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19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198" s="405">
        <f>VLOOKUP(Таблица7[[#This Row],[Основное оружие]], Оружие[#All], 3, 0)</f>
        <v>8</v>
      </c>
      <c r="BC198" s="405">
        <f>IF(ISBLANK(Таблица7[[#This Row],[Дополнительное оружие]]),"", VLOOKUP(Таблица7[[#This Row],[Дополнительное оружие]], Оружие[#All], 3, 0))</f>
        <v>3</v>
      </c>
      <c r="BD19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10</v>
      </c>
      <c r="BE19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12</v>
      </c>
      <c r="BF19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19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19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8" s="405">
        <f>Таблица7[[#This Row],[Броня]]+Таблица7[[#This Row],[Щит]]+Таблица7[[#This Row],[навык защиты]]</f>
        <v>19</v>
      </c>
      <c r="BK198" s="1006"/>
      <c r="BL198" s="1006"/>
      <c r="BM198" s="384"/>
      <c r="BN198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198" s="384">
        <v>3</v>
      </c>
      <c r="BP198" s="384">
        <v>0</v>
      </c>
      <c r="BQ198" s="384">
        <v>-2</v>
      </c>
      <c r="BR198" s="384">
        <v>0</v>
      </c>
      <c r="BS198" s="384">
        <v>2</v>
      </c>
      <c r="BT198" s="692" t="s">
        <v>1832</v>
      </c>
      <c r="BU198" s="980" t="s">
        <v>1840</v>
      </c>
      <c r="BV198" s="980" t="s">
        <v>1844</v>
      </c>
      <c r="BW198" s="384"/>
      <c r="BX198" s="384"/>
      <c r="BY198" s="384"/>
      <c r="BZ198" s="86"/>
    </row>
    <row r="199" spans="1:78" s="83" customFormat="1" ht="40.5" customHeight="1" x14ac:dyDescent="0.25">
      <c r="A199" s="333">
        <v>198</v>
      </c>
      <c r="B199" s="941" t="s">
        <v>2878</v>
      </c>
      <c r="C199" s="941" t="s">
        <v>2876</v>
      </c>
      <c r="D199" s="435" t="s">
        <v>1548</v>
      </c>
      <c r="E199" s="220" t="s">
        <v>1570</v>
      </c>
      <c r="F199" s="220"/>
      <c r="G199" s="220"/>
      <c r="H199" s="220"/>
      <c r="I199" s="652"/>
      <c r="J199" s="60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0</v>
      </c>
      <c r="K199" s="603">
        <f>Таблица7[[#This Row],[Размер отряда минимум]]*1.25</f>
        <v>0</v>
      </c>
      <c r="L199" s="603">
        <f>Таблица7[[#This Row],[Размер отряда норма]]*1.5</f>
        <v>0</v>
      </c>
      <c r="M199" s="604">
        <f>Таблица7[[#This Row],[Размер отряда минимум]]*2.5</f>
        <v>0</v>
      </c>
      <c r="N199" s="604"/>
      <c r="O199" s="604"/>
      <c r="P199" s="604"/>
      <c r="Q199" s="604"/>
      <c r="R199" s="84" t="s">
        <v>11</v>
      </c>
      <c r="S199" s="941" t="s">
        <v>2808</v>
      </c>
      <c r="T199" s="260" t="s">
        <v>1032</v>
      </c>
      <c r="U199" s="942" t="s">
        <v>2877</v>
      </c>
      <c r="V199" s="943" t="s">
        <v>2879</v>
      </c>
      <c r="W199" s="220" t="s">
        <v>1001</v>
      </c>
      <c r="X199" s="220" t="s">
        <v>2136</v>
      </c>
      <c r="Y199" s="220" t="s">
        <v>2785</v>
      </c>
      <c r="Z199" s="220"/>
      <c r="AA199" s="220"/>
      <c r="AB199" s="220"/>
      <c r="AC199" s="220"/>
      <c r="AD199" s="221" t="s">
        <v>985</v>
      </c>
      <c r="AE199" s="221"/>
      <c r="AF199" s="220" t="s">
        <v>1033</v>
      </c>
      <c r="AG199" s="220"/>
      <c r="AH199" s="220" t="s">
        <v>985</v>
      </c>
      <c r="AI199" s="220"/>
      <c r="AJ199" s="221" t="s">
        <v>985</v>
      </c>
      <c r="AK199" s="943"/>
      <c r="AL199" s="223" t="s">
        <v>985</v>
      </c>
      <c r="AM199" s="220" t="s">
        <v>977</v>
      </c>
      <c r="AN199" s="941" t="s">
        <v>1910</v>
      </c>
      <c r="AO199" s="941" t="s">
        <v>2062</v>
      </c>
      <c r="AP199" s="220" t="s">
        <v>1166</v>
      </c>
      <c r="AQ199" s="941" t="s">
        <v>2817</v>
      </c>
      <c r="AS199" s="83">
        <v>1500</v>
      </c>
      <c r="AT199" s="85"/>
      <c r="AU199" s="405">
        <v>1</v>
      </c>
      <c r="AV199" s="405" t="s">
        <v>1827</v>
      </c>
      <c r="AW199" s="405">
        <f>VLOOKUP(Таблица7[[#This Row],[Основное оружие]], Оружие[#All], 2, 0)</f>
        <v>0</v>
      </c>
      <c r="AX199" s="405" t="str">
        <f>IF(ISBLANK(Таблица7[[#This Row],[Дополнительное оружие]]),"", VLOOKUP(Таблица7[[#This Row],[Дополнительное оружие]], Оружие[#All], 2, 0))</f>
        <v/>
      </c>
      <c r="AY19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19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19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199" s="405">
        <f>VLOOKUP(Таблица7[[#This Row],[Основное оружие]], Оружие[#All], 3, 0)</f>
        <v>1</v>
      </c>
      <c r="BC199" s="405" t="str">
        <f>IF(ISBLANK(Таблица7[[#This Row],[Дополнительное оружие]]),"", VLOOKUP(Таблица7[[#This Row],[Дополнительное оружие]], Оружие[#All], 3, 0))</f>
        <v/>
      </c>
      <c r="BD19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19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</v>
      </c>
      <c r="BF19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19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19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19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199" s="405">
        <f>Таблица7[[#This Row],[Броня]]+Таблица7[[#This Row],[Щит]]+Таблица7[[#This Row],[навык защиты]]</f>
        <v>3</v>
      </c>
      <c r="BK199" s="1008"/>
      <c r="BL199" s="1008"/>
      <c r="BM199" s="384"/>
      <c r="BN199" s="98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199" s="384">
        <v>3</v>
      </c>
      <c r="BP199" s="384">
        <v>-1</v>
      </c>
      <c r="BQ199" s="384">
        <v>-2</v>
      </c>
      <c r="BR199" s="384">
        <v>-2</v>
      </c>
      <c r="BS199" s="384">
        <v>-2</v>
      </c>
      <c r="BT199" s="384">
        <v>10</v>
      </c>
      <c r="BU199" s="980" t="s">
        <v>1576</v>
      </c>
      <c r="BV199" s="980" t="s">
        <v>1843</v>
      </c>
      <c r="BW199" s="384"/>
      <c r="BX199" s="384"/>
      <c r="BY199" s="384"/>
      <c r="BZ199" s="86"/>
    </row>
    <row r="200" spans="1:78" s="87" customFormat="1" ht="40.5" customHeight="1" x14ac:dyDescent="0.25">
      <c r="A200" s="333">
        <v>199</v>
      </c>
      <c r="B200" s="289" t="s">
        <v>1301</v>
      </c>
      <c r="C200" s="289"/>
      <c r="D200" s="87" t="s">
        <v>1556</v>
      </c>
      <c r="E200" s="87" t="s">
        <v>1546</v>
      </c>
      <c r="I200" s="653">
        <v>0.75</v>
      </c>
      <c r="J200" s="60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00" s="605">
        <f>Таблица7[[#This Row],[Размер отряда минимум]]*1.25</f>
        <v>93.75</v>
      </c>
      <c r="L200" s="605">
        <f>Таблица7[[#This Row],[Размер отряда норма]]*1.5</f>
        <v>140.625</v>
      </c>
      <c r="M200" s="606">
        <f>Таблица7[[#This Row],[Размер отряда минимум]]*2.5</f>
        <v>187.5</v>
      </c>
      <c r="N200" s="606"/>
      <c r="O200" s="606"/>
      <c r="P200" s="606"/>
      <c r="Q200" s="606"/>
      <c r="R200" s="87" t="s">
        <v>12</v>
      </c>
      <c r="S200" s="959" t="s">
        <v>2884</v>
      </c>
      <c r="T200" s="87" t="s">
        <v>1032</v>
      </c>
      <c r="U200" s="736" t="s">
        <v>1223</v>
      </c>
      <c r="V200" s="88"/>
      <c r="W200" s="87" t="s">
        <v>984</v>
      </c>
      <c r="X200" s="87" t="s">
        <v>996</v>
      </c>
      <c r="AD200" s="736" t="s">
        <v>985</v>
      </c>
      <c r="AE200" s="736"/>
      <c r="AF200" s="87" t="s">
        <v>985</v>
      </c>
      <c r="AH200" s="87" t="s">
        <v>985</v>
      </c>
      <c r="AJ200" s="87" t="s">
        <v>985</v>
      </c>
      <c r="AL200" s="198" t="s">
        <v>985</v>
      </c>
      <c r="AM200" s="87" t="s">
        <v>935</v>
      </c>
      <c r="AN200" s="87" t="s">
        <v>955</v>
      </c>
      <c r="AP200" s="87" t="s">
        <v>12</v>
      </c>
      <c r="AS200" s="87">
        <v>1500</v>
      </c>
      <c r="AT200" s="88"/>
      <c r="AU200" s="405">
        <v>1</v>
      </c>
      <c r="AV200" s="405"/>
      <c r="AW200" s="405">
        <f>VLOOKUP(Таблица7[[#This Row],[Основное оружие]], Оружие[#All], 2, 0)</f>
        <v>7</v>
      </c>
      <c r="AX200" s="405" t="str">
        <f>IF(ISBLANK(Таблица7[[#This Row],[Дополнительное оружие]]),"", VLOOKUP(Таблица7[[#This Row],[Дополнительное оружие]], Оружие[#All], 2, 0))</f>
        <v/>
      </c>
      <c r="AY20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0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20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00" s="405">
        <f>VLOOKUP(Таблица7[[#This Row],[Основное оружие]], Оружие[#All], 3, 0)</f>
        <v>3</v>
      </c>
      <c r="BC200" s="405" t="str">
        <f>IF(ISBLANK(Таблица7[[#This Row],[Дополнительное оружие]]),"", VLOOKUP(Таблица7[[#This Row],[Дополнительное оружие]], Оружие[#All], 3, 0))</f>
        <v/>
      </c>
      <c r="BD20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0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0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0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0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00" s="405">
        <f>Таблица7[[#This Row],[Броня]]+Таблица7[[#This Row],[Щит]]+Таблица7[[#This Row],[навык защиты]]</f>
        <v>3</v>
      </c>
      <c r="BK200" s="1006"/>
      <c r="BL200" s="1006"/>
      <c r="BM200" s="385"/>
      <c r="BN200" s="98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00" s="385">
        <v>3</v>
      </c>
      <c r="BP200" s="385">
        <v>0</v>
      </c>
      <c r="BQ200" s="385">
        <v>-2</v>
      </c>
      <c r="BR200" s="385">
        <v>-1</v>
      </c>
      <c r="BS200" s="385">
        <v>2</v>
      </c>
      <c r="BT200" s="385">
        <v>2</v>
      </c>
      <c r="BU200" s="982" t="s">
        <v>1839</v>
      </c>
      <c r="BV200" s="982" t="s">
        <v>1842</v>
      </c>
      <c r="BW200" s="385"/>
      <c r="BX200" s="385"/>
      <c r="BY200" s="385"/>
      <c r="BZ200" s="89"/>
    </row>
    <row r="201" spans="1:78" s="87" customFormat="1" ht="40.5" customHeight="1" x14ac:dyDescent="0.25">
      <c r="A201" s="333">
        <v>200</v>
      </c>
      <c r="B201" s="289" t="s">
        <v>1225</v>
      </c>
      <c r="C201" s="289"/>
      <c r="D201" s="87" t="s">
        <v>1556</v>
      </c>
      <c r="E201" s="87" t="s">
        <v>1448</v>
      </c>
      <c r="I201" s="653">
        <v>0.75</v>
      </c>
      <c r="J201" s="60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01" s="605">
        <f>Таблица7[[#This Row],[Размер отряда минимум]]*1.25</f>
        <v>93.75</v>
      </c>
      <c r="L201" s="605">
        <f>Таблица7[[#This Row],[Размер отряда норма]]*1.5</f>
        <v>140.625</v>
      </c>
      <c r="M201" s="606">
        <f>Таблица7[[#This Row],[Размер отряда минимум]]*2.5</f>
        <v>187.5</v>
      </c>
      <c r="N201" s="606"/>
      <c r="O201" s="606"/>
      <c r="P201" s="606"/>
      <c r="Q201" s="606"/>
      <c r="R201" s="87" t="s">
        <v>12</v>
      </c>
      <c r="S201" s="959" t="s">
        <v>2884</v>
      </c>
      <c r="T201" s="87" t="s">
        <v>1032</v>
      </c>
      <c r="U201" s="736" t="s">
        <v>1224</v>
      </c>
      <c r="V201" s="88"/>
      <c r="W201" s="289" t="s">
        <v>1001</v>
      </c>
      <c r="X201" s="289" t="s">
        <v>996</v>
      </c>
      <c r="Y201" s="289"/>
      <c r="Z201" s="289"/>
      <c r="AA201" s="289"/>
      <c r="AB201" s="289"/>
      <c r="AC201" s="289"/>
      <c r="AD201" s="291" t="s">
        <v>1172</v>
      </c>
      <c r="AE201" s="291"/>
      <c r="AF201" s="289" t="s">
        <v>1477</v>
      </c>
      <c r="AG201" s="289"/>
      <c r="AH201" s="87" t="s">
        <v>1211</v>
      </c>
      <c r="AJ201" s="87" t="s">
        <v>985</v>
      </c>
      <c r="AL201" s="198" t="s">
        <v>985</v>
      </c>
      <c r="AM201" s="289" t="s">
        <v>977</v>
      </c>
      <c r="AN201" s="289" t="s">
        <v>997</v>
      </c>
      <c r="AO201" s="289"/>
      <c r="AP201" s="87" t="s">
        <v>12</v>
      </c>
      <c r="AS201" s="87">
        <v>1500</v>
      </c>
      <c r="AT201" s="88"/>
      <c r="AU201" s="405">
        <v>5</v>
      </c>
      <c r="AV201" s="405"/>
      <c r="AW201" s="405">
        <f>VLOOKUP(Таблица7[[#This Row],[Основное оружие]], Оружие[#All], 2, 0)</f>
        <v>7</v>
      </c>
      <c r="AX201" s="405" t="str">
        <f>IF(ISBLANK(Таблица7[[#This Row],[Дополнительное оружие]]),"", VLOOKUP(Таблица7[[#This Row],[Дополнительное оружие]], Оружие[#All], 2, 0))</f>
        <v/>
      </c>
      <c r="AY20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0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20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01" s="405">
        <f>VLOOKUP(Таблица7[[#This Row],[Основное оружие]], Оружие[#All], 3, 0)</f>
        <v>3</v>
      </c>
      <c r="BC201" s="405" t="str">
        <f>IF(ISBLANK(Таблица7[[#This Row],[Дополнительное оружие]]),"", VLOOKUP(Таблица7[[#This Row],[Дополнительное оружие]], Оружие[#All], 3, 0))</f>
        <v/>
      </c>
      <c r="BD20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10</v>
      </c>
      <c r="BE20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12</v>
      </c>
      <c r="BF201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15</v>
      </c>
      <c r="BG20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0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01" s="405">
        <f>Таблица7[[#This Row],[Броня]]+Таблица7[[#This Row],[Щит]]+Таблица7[[#This Row],[навык защиты]]</f>
        <v>15</v>
      </c>
      <c r="BK201" s="1006"/>
      <c r="BL201" s="1006"/>
      <c r="BM201" s="385"/>
      <c r="BN201" s="98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01" s="385">
        <v>3</v>
      </c>
      <c r="BP201" s="385">
        <v>0</v>
      </c>
      <c r="BQ201" s="385">
        <v>-2</v>
      </c>
      <c r="BR201" s="385">
        <v>-1</v>
      </c>
      <c r="BS201" s="385">
        <v>2</v>
      </c>
      <c r="BT201" s="385">
        <v>9</v>
      </c>
      <c r="BU201" s="982" t="s">
        <v>1576</v>
      </c>
      <c r="BV201" s="982" t="s">
        <v>1843</v>
      </c>
      <c r="BW201" s="385"/>
      <c r="BX201" s="385"/>
      <c r="BY201" s="385"/>
      <c r="BZ201" s="89"/>
    </row>
    <row r="202" spans="1:78" s="87" customFormat="1" ht="40.5" customHeight="1" x14ac:dyDescent="0.25">
      <c r="A202" s="333">
        <v>201</v>
      </c>
      <c r="B202" s="289" t="s">
        <v>1227</v>
      </c>
      <c r="C202" s="289"/>
      <c r="D202" s="289" t="s">
        <v>1556</v>
      </c>
      <c r="E202" s="289" t="s">
        <v>1547</v>
      </c>
      <c r="F202" s="289"/>
      <c r="G202" s="289"/>
      <c r="H202" s="289"/>
      <c r="I202" s="653">
        <v>0.75</v>
      </c>
      <c r="J202" s="60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60</v>
      </c>
      <c r="K202" s="605">
        <f>Таблица7[[#This Row],[Размер отряда минимум]]*1.25</f>
        <v>75</v>
      </c>
      <c r="L202" s="605">
        <f>Таблица7[[#This Row],[Размер отряда норма]]*1.5</f>
        <v>112.5</v>
      </c>
      <c r="M202" s="606">
        <f>Таблица7[[#This Row],[Размер отряда минимум]]*2.5</f>
        <v>150</v>
      </c>
      <c r="N202" s="606"/>
      <c r="O202" s="606"/>
      <c r="P202" s="606"/>
      <c r="Q202" s="606"/>
      <c r="R202" s="87" t="s">
        <v>12</v>
      </c>
      <c r="S202" s="959" t="s">
        <v>2884</v>
      </c>
      <c r="T202" s="289" t="s">
        <v>975</v>
      </c>
      <c r="U202" s="736" t="s">
        <v>1226</v>
      </c>
      <c r="V202" s="88"/>
      <c r="W202" s="289" t="s">
        <v>1001</v>
      </c>
      <c r="X202" s="289" t="s">
        <v>996</v>
      </c>
      <c r="Y202" s="289"/>
      <c r="Z202" s="289"/>
      <c r="AA202" s="289"/>
      <c r="AB202" s="289"/>
      <c r="AC202" s="289"/>
      <c r="AD202" s="291" t="s">
        <v>1482</v>
      </c>
      <c r="AE202" s="291"/>
      <c r="AF202" s="289" t="s">
        <v>1481</v>
      </c>
      <c r="AG202" s="289"/>
      <c r="AH202" s="289" t="s">
        <v>985</v>
      </c>
      <c r="AI202" s="289"/>
      <c r="AJ202" s="289" t="s">
        <v>985</v>
      </c>
      <c r="AK202" s="289"/>
      <c r="AL202" s="290" t="s">
        <v>985</v>
      </c>
      <c r="AM202" s="289" t="s">
        <v>977</v>
      </c>
      <c r="AN202" s="289" t="s">
        <v>997</v>
      </c>
      <c r="AO202" s="289"/>
      <c r="AP202" s="87" t="s">
        <v>12</v>
      </c>
      <c r="AS202" s="87">
        <v>1500</v>
      </c>
      <c r="AT202" s="88">
        <v>1576</v>
      </c>
      <c r="AU202" s="405">
        <v>2</v>
      </c>
      <c r="AV202" s="405"/>
      <c r="AW202" s="405">
        <f>VLOOKUP(Таблица7[[#This Row],[Основное оружие]], Оружие[#All], 2, 0)</f>
        <v>7</v>
      </c>
      <c r="AX202" s="405" t="str">
        <f>IF(ISBLANK(Таблица7[[#This Row],[Дополнительное оружие]]),"", VLOOKUP(Таблица7[[#This Row],[Дополнительное оружие]], Оружие[#All], 2, 0))</f>
        <v/>
      </c>
      <c r="AY20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</v>
      </c>
      <c r="AZ20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20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02" s="405">
        <f>VLOOKUP(Таблица7[[#This Row],[Основное оружие]], Оружие[#All], 3, 0)</f>
        <v>3</v>
      </c>
      <c r="BC202" s="405" t="str">
        <f>IF(ISBLANK(Таблица7[[#This Row],[Дополнительное оружие]]),"", VLOOKUP(Таблица7[[#This Row],[Дополнительное оружие]], Оружие[#All], 3, 0))</f>
        <v/>
      </c>
      <c r="BD20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0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0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0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20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02" s="405">
        <f>Таблица7[[#This Row],[Броня]]+Таблица7[[#This Row],[Щит]]+Таблица7[[#This Row],[навык защиты]]</f>
        <v>19</v>
      </c>
      <c r="BK202" s="1006"/>
      <c r="BL202" s="1006"/>
      <c r="BM202" s="385"/>
      <c r="BN202" s="98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02" s="385">
        <v>2</v>
      </c>
      <c r="BP202" s="385">
        <v>0</v>
      </c>
      <c r="BQ202" s="385">
        <v>-1</v>
      </c>
      <c r="BR202" s="385">
        <v>-1</v>
      </c>
      <c r="BS202" s="385">
        <v>1</v>
      </c>
      <c r="BT202" s="385">
        <v>7</v>
      </c>
      <c r="BU202" s="982" t="s">
        <v>1576</v>
      </c>
      <c r="BV202" s="982" t="s">
        <v>1843</v>
      </c>
      <c r="BW202" s="385"/>
      <c r="BX202" s="385"/>
      <c r="BY202" s="385"/>
      <c r="BZ202" s="89"/>
    </row>
    <row r="203" spans="1:78" s="87" customFormat="1" ht="40.5" customHeight="1" x14ac:dyDescent="0.25">
      <c r="A203" s="333">
        <v>202</v>
      </c>
      <c r="B203" s="544" t="s">
        <v>1665</v>
      </c>
      <c r="C203" s="544"/>
      <c r="D203" s="289" t="s">
        <v>1556</v>
      </c>
      <c r="E203" s="289" t="s">
        <v>1570</v>
      </c>
      <c r="F203" s="289"/>
      <c r="G203" s="289"/>
      <c r="H203" s="289"/>
      <c r="I203" s="653">
        <v>0.75</v>
      </c>
      <c r="J203" s="60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03" s="605">
        <f>Таблица7[[#This Row],[Размер отряда минимум]]*1.25</f>
        <v>93.75</v>
      </c>
      <c r="L203" s="605">
        <f>Таблица7[[#This Row],[Размер отряда норма]]*1.5</f>
        <v>140.625</v>
      </c>
      <c r="M203" s="606">
        <f>Таблица7[[#This Row],[Размер отряда минимум]]*2.5</f>
        <v>187.5</v>
      </c>
      <c r="N203" s="606"/>
      <c r="O203" s="606"/>
      <c r="P203" s="606"/>
      <c r="Q203" s="606"/>
      <c r="R203" s="545" t="s">
        <v>1673</v>
      </c>
      <c r="S203" s="959" t="s">
        <v>2884</v>
      </c>
      <c r="T203" s="289" t="s">
        <v>976</v>
      </c>
      <c r="U203" s="736" t="s">
        <v>1218</v>
      </c>
      <c r="V203" s="88"/>
      <c r="W203" s="289" t="s">
        <v>1001</v>
      </c>
      <c r="X203" s="289" t="s">
        <v>1689</v>
      </c>
      <c r="Y203" s="289"/>
      <c r="Z203" s="289" t="s">
        <v>1441</v>
      </c>
      <c r="AA203" s="289"/>
      <c r="AB203" s="289"/>
      <c r="AC203" s="289"/>
      <c r="AD203" s="291" t="s">
        <v>985</v>
      </c>
      <c r="AE203" s="291"/>
      <c r="AF203" s="289" t="s">
        <v>991</v>
      </c>
      <c r="AG203" s="289"/>
      <c r="AH203" s="289" t="s">
        <v>985</v>
      </c>
      <c r="AI203" s="289"/>
      <c r="AJ203" s="289" t="s">
        <v>985</v>
      </c>
      <c r="AK203" s="289"/>
      <c r="AL203" s="290" t="s">
        <v>985</v>
      </c>
      <c r="AM203" s="289" t="s">
        <v>978</v>
      </c>
      <c r="AN203" s="289" t="s">
        <v>1023</v>
      </c>
      <c r="AO203" s="289"/>
      <c r="AP203" s="87" t="s">
        <v>12</v>
      </c>
      <c r="AS203" s="544" t="s">
        <v>1682</v>
      </c>
      <c r="AT203" s="88"/>
      <c r="AU203" s="405">
        <v>3</v>
      </c>
      <c r="AV203" s="405" t="s">
        <v>1827</v>
      </c>
      <c r="AW203" s="405">
        <f>VLOOKUP(Таблица7[[#This Row],[Основное оружие]], Оружие[#All], 2, 0)</f>
        <v>0</v>
      </c>
      <c r="AX203" s="405">
        <f>IF(ISBLANK(Таблица7[[#This Row],[Дополнительное оружие]]),"", VLOOKUP(Таблица7[[#This Row],[Дополнительное оружие]], Оружие[#All], 2, 0))</f>
        <v>4</v>
      </c>
      <c r="AY20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0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0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03" s="405">
        <f>VLOOKUP(Таблица7[[#This Row],[Основное оружие]], Оружие[#All], 3, 0)</f>
        <v>1</v>
      </c>
      <c r="BC203" s="405">
        <f>IF(ISBLANK(Таблица7[[#This Row],[Дополнительное оружие]]),"", VLOOKUP(Таблица7[[#This Row],[Дополнительное оружие]], Оружие[#All], 3, 0))</f>
        <v>3</v>
      </c>
      <c r="BD20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0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0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0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0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03" s="405">
        <f>Таблица7[[#This Row],[Броня]]+Таблица7[[#This Row],[Щит]]+Таблица7[[#This Row],[навык защиты]]</f>
        <v>5</v>
      </c>
      <c r="BK203" s="1006"/>
      <c r="BL203" s="1006"/>
      <c r="BM203" s="385"/>
      <c r="BN203" s="98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03" s="385">
        <v>2</v>
      </c>
      <c r="BP203" s="385">
        <v>1</v>
      </c>
      <c r="BQ203" s="385">
        <v>-1</v>
      </c>
      <c r="BR203" s="385">
        <v>2</v>
      </c>
      <c r="BS203" s="385">
        <v>1</v>
      </c>
      <c r="BT203" s="385">
        <v>7</v>
      </c>
      <c r="BU203" s="982" t="s">
        <v>1576</v>
      </c>
      <c r="BV203" s="982" t="s">
        <v>1843</v>
      </c>
      <c r="BW203" s="385"/>
      <c r="BX203" s="385"/>
      <c r="BY203" s="385"/>
      <c r="BZ203" s="89"/>
    </row>
    <row r="204" spans="1:78" s="87" customFormat="1" ht="40.5" customHeight="1" x14ac:dyDescent="0.25">
      <c r="A204" s="333">
        <v>203</v>
      </c>
      <c r="B204" s="289" t="s">
        <v>1228</v>
      </c>
      <c r="C204" s="289"/>
      <c r="D204" s="289" t="s">
        <v>1555</v>
      </c>
      <c r="E204" s="289" t="s">
        <v>1546</v>
      </c>
      <c r="F204" s="289"/>
      <c r="G204" s="289"/>
      <c r="H204" s="289"/>
      <c r="I204" s="653">
        <v>0.9</v>
      </c>
      <c r="J204" s="60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204" s="605">
        <f>Таблица7[[#This Row],[Размер отряда минимум]]*1.25</f>
        <v>45</v>
      </c>
      <c r="L204" s="605">
        <f>Таблица7[[#This Row],[Размер отряда норма]]*1.5</f>
        <v>67.5</v>
      </c>
      <c r="M204" s="606">
        <f>Таблица7[[#This Row],[Размер отряда минимум]]*2.5</f>
        <v>90</v>
      </c>
      <c r="N204" s="606"/>
      <c r="O204" s="606"/>
      <c r="P204" s="606"/>
      <c r="Q204" s="606"/>
      <c r="R204" s="87" t="s">
        <v>12</v>
      </c>
      <c r="S204" s="959" t="s">
        <v>2884</v>
      </c>
      <c r="T204" s="289" t="s">
        <v>1032</v>
      </c>
      <c r="U204" s="736" t="s">
        <v>1088</v>
      </c>
      <c r="V204" s="88"/>
      <c r="W204" s="289" t="s">
        <v>984</v>
      </c>
      <c r="X204" s="289" t="s">
        <v>1528</v>
      </c>
      <c r="Y204" s="289"/>
      <c r="Z204" s="289" t="s">
        <v>1441</v>
      </c>
      <c r="AA204" s="289"/>
      <c r="AB204" s="289"/>
      <c r="AC204" s="289"/>
      <c r="AD204" s="291" t="s">
        <v>985</v>
      </c>
      <c r="AE204" s="291"/>
      <c r="AF204" s="289" t="s">
        <v>985</v>
      </c>
      <c r="AG204" s="289"/>
      <c r="AH204" s="289" t="s">
        <v>985</v>
      </c>
      <c r="AI204" s="289"/>
      <c r="AJ204" s="291" t="s">
        <v>985</v>
      </c>
      <c r="AK204" s="291"/>
      <c r="AL204" s="290" t="s">
        <v>985</v>
      </c>
      <c r="AM204" s="289" t="s">
        <v>978</v>
      </c>
      <c r="AN204" s="289" t="s">
        <v>1023</v>
      </c>
      <c r="AO204" s="289"/>
      <c r="AP204" s="87" t="s">
        <v>12</v>
      </c>
      <c r="AS204" s="87">
        <v>1524</v>
      </c>
      <c r="AT204" s="88"/>
      <c r="AU204" s="405">
        <v>7</v>
      </c>
      <c r="AV204" s="405"/>
      <c r="AW204" s="405">
        <f>VLOOKUP(Таблица7[[#This Row],[Основное оружие]], Оружие[#All], 2, 0)</f>
        <v>2</v>
      </c>
      <c r="AX204" s="405">
        <f>IF(ISBLANK(Таблица7[[#This Row],[Дополнительное оружие]]),"", VLOOKUP(Таблица7[[#This Row],[Дополнительное оружие]], Оружие[#All], 2, 0))</f>
        <v>4</v>
      </c>
      <c r="AY20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0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0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04" s="405">
        <f>VLOOKUP(Таблица7[[#This Row],[Основное оружие]], Оружие[#All], 3, 0)</f>
        <v>6</v>
      </c>
      <c r="BC204" s="405">
        <f>IF(ISBLANK(Таблица7[[#This Row],[Дополнительное оружие]]),"", VLOOKUP(Таблица7[[#This Row],[Дополнительное оружие]], Оружие[#All], 3, 0))</f>
        <v>3</v>
      </c>
      <c r="BD20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0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0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0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20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04" s="405">
        <f>Таблица7[[#This Row],[Броня]]+Таблица7[[#This Row],[Щит]]+Таблица7[[#This Row],[навык защиты]]</f>
        <v>7</v>
      </c>
      <c r="BK204" s="1006"/>
      <c r="BL204" s="1006"/>
      <c r="BM204" s="385"/>
      <c r="BN204" s="98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04" s="385">
        <v>1</v>
      </c>
      <c r="BP204" s="385">
        <v>-2</v>
      </c>
      <c r="BQ204" s="385">
        <v>0</v>
      </c>
      <c r="BR204" s="385">
        <v>-4</v>
      </c>
      <c r="BS204" s="385">
        <v>-2</v>
      </c>
      <c r="BT204" s="385">
        <v>10</v>
      </c>
      <c r="BU204" s="982" t="s">
        <v>1576</v>
      </c>
      <c r="BV204" s="982" t="s">
        <v>1842</v>
      </c>
      <c r="BW204" s="385"/>
      <c r="BX204" s="385"/>
      <c r="BY204" s="385"/>
      <c r="BZ204" s="89"/>
    </row>
    <row r="205" spans="1:78" s="87" customFormat="1" ht="40.5" customHeight="1" x14ac:dyDescent="0.25">
      <c r="A205" s="333">
        <v>204</v>
      </c>
      <c r="B205" s="289" t="s">
        <v>1229</v>
      </c>
      <c r="C205" s="289"/>
      <c r="D205" s="289" t="s">
        <v>1555</v>
      </c>
      <c r="E205" s="289" t="s">
        <v>1570</v>
      </c>
      <c r="F205" s="289"/>
      <c r="G205" s="289"/>
      <c r="H205" s="289"/>
      <c r="I205" s="653">
        <v>0.9</v>
      </c>
      <c r="J205" s="60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205" s="605">
        <f>Таблица7[[#This Row],[Размер отряда минимум]]*1.25</f>
        <v>45</v>
      </c>
      <c r="L205" s="605">
        <f>Таблица7[[#This Row],[Размер отряда норма]]*1.5</f>
        <v>67.5</v>
      </c>
      <c r="M205" s="606">
        <f>Таблица7[[#This Row],[Размер отряда минимум]]*2.5</f>
        <v>90</v>
      </c>
      <c r="N205" s="606"/>
      <c r="O205" s="606"/>
      <c r="P205" s="606"/>
      <c r="Q205" s="606"/>
      <c r="R205" s="87" t="s">
        <v>12</v>
      </c>
      <c r="S205" s="959" t="s">
        <v>2884</v>
      </c>
      <c r="T205" s="289" t="s">
        <v>1032</v>
      </c>
      <c r="U205" s="736" t="s">
        <v>1190</v>
      </c>
      <c r="V205" s="88"/>
      <c r="W205" s="289" t="s">
        <v>984</v>
      </c>
      <c r="X205" s="289" t="s">
        <v>1688</v>
      </c>
      <c r="Y205" s="289"/>
      <c r="Z205" s="289" t="s">
        <v>1441</v>
      </c>
      <c r="AA205" s="289"/>
      <c r="AB205" s="289"/>
      <c r="AC205" s="289"/>
      <c r="AD205" s="291" t="s">
        <v>985</v>
      </c>
      <c r="AE205" s="291"/>
      <c r="AF205" s="289" t="s">
        <v>985</v>
      </c>
      <c r="AG205" s="289"/>
      <c r="AH205" s="289" t="s">
        <v>985</v>
      </c>
      <c r="AI205" s="289"/>
      <c r="AJ205" s="291" t="s">
        <v>985</v>
      </c>
      <c r="AK205" s="291"/>
      <c r="AL205" s="290" t="s">
        <v>985</v>
      </c>
      <c r="AM205" s="289" t="s">
        <v>978</v>
      </c>
      <c r="AN205" s="289" t="s">
        <v>1023</v>
      </c>
      <c r="AO205" s="289"/>
      <c r="AP205" s="87" t="s">
        <v>12</v>
      </c>
      <c r="AS205" s="87">
        <v>1500</v>
      </c>
      <c r="AT205" s="88"/>
      <c r="AU205" s="405">
        <v>4</v>
      </c>
      <c r="AV205" s="405" t="s">
        <v>1828</v>
      </c>
      <c r="AW205" s="405">
        <f>VLOOKUP(Таблица7[[#This Row],[Основное оружие]], Оружие[#All], 2, 0)</f>
        <v>0</v>
      </c>
      <c r="AX205" s="405">
        <f>IF(ISBLANK(Таблица7[[#This Row],[Дополнительное оружие]]),"", VLOOKUP(Таблица7[[#This Row],[Дополнительное оружие]], Оружие[#All], 2, 0))</f>
        <v>4</v>
      </c>
      <c r="AY20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0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0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205" s="405">
        <f>VLOOKUP(Таблица7[[#This Row],[Основное оружие]], Оружие[#All], 3, 0)</f>
        <v>1</v>
      </c>
      <c r="BC205" s="405">
        <f>IF(ISBLANK(Таблица7[[#This Row],[Дополнительное оружие]]),"", VLOOKUP(Таблица7[[#This Row],[Дополнительное оружие]], Оружие[#All], 3, 0))</f>
        <v>3</v>
      </c>
      <c r="BD20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0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0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0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0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05" s="405">
        <f>Таблица7[[#This Row],[Броня]]+Таблица7[[#This Row],[Щит]]+Таблица7[[#This Row],[навык защиты]]</f>
        <v>4</v>
      </c>
      <c r="BK205" s="1006"/>
      <c r="BL205" s="1006"/>
      <c r="BM205" s="385"/>
      <c r="BN205" s="98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05" s="385">
        <v>1</v>
      </c>
      <c r="BP205" s="385">
        <v>-2</v>
      </c>
      <c r="BQ205" s="385">
        <v>0</v>
      </c>
      <c r="BR205" s="385">
        <v>-4</v>
      </c>
      <c r="BS205" s="385">
        <v>-2</v>
      </c>
      <c r="BT205" s="385">
        <v>10</v>
      </c>
      <c r="BU205" s="982" t="s">
        <v>1576</v>
      </c>
      <c r="BV205" s="982" t="s">
        <v>1842</v>
      </c>
      <c r="BW205" s="385"/>
      <c r="BX205" s="385"/>
      <c r="BY205" s="385"/>
      <c r="BZ205" s="89"/>
    </row>
    <row r="206" spans="1:78" s="87" customFormat="1" ht="40.5" customHeight="1" x14ac:dyDescent="0.25">
      <c r="A206" s="333">
        <v>205</v>
      </c>
      <c r="B206" s="289" t="s">
        <v>1230</v>
      </c>
      <c r="C206" s="289"/>
      <c r="D206" s="289" t="s">
        <v>1555</v>
      </c>
      <c r="E206" s="289" t="s">
        <v>1558</v>
      </c>
      <c r="F206" s="289"/>
      <c r="G206" s="289"/>
      <c r="H206" s="289"/>
      <c r="I206" s="653">
        <v>0.9</v>
      </c>
      <c r="J206" s="60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206" s="605">
        <f>Таблица7[[#This Row],[Размер отряда минимум]]*1.25</f>
        <v>45</v>
      </c>
      <c r="L206" s="605">
        <f>Таблица7[[#This Row],[Размер отряда норма]]*1.5</f>
        <v>67.5</v>
      </c>
      <c r="M206" s="606">
        <f>Таблица7[[#This Row],[Размер отряда минимум]]*2.5</f>
        <v>90</v>
      </c>
      <c r="N206" s="606"/>
      <c r="O206" s="606"/>
      <c r="P206" s="606"/>
      <c r="Q206" s="606"/>
      <c r="R206" s="87" t="s">
        <v>12</v>
      </c>
      <c r="S206" s="959" t="s">
        <v>2884</v>
      </c>
      <c r="T206" s="289" t="s">
        <v>976</v>
      </c>
      <c r="U206" s="736" t="s">
        <v>1500</v>
      </c>
      <c r="V206" s="88"/>
      <c r="W206" s="289" t="s">
        <v>1001</v>
      </c>
      <c r="X206" s="349" t="s">
        <v>1528</v>
      </c>
      <c r="Y206" s="349"/>
      <c r="Z206" s="349" t="s">
        <v>1511</v>
      </c>
      <c r="AA206" s="349"/>
      <c r="AB206" s="349" t="s">
        <v>944</v>
      </c>
      <c r="AC206" s="349"/>
      <c r="AD206" s="291" t="s">
        <v>1027</v>
      </c>
      <c r="AE206" s="291"/>
      <c r="AF206" s="289" t="s">
        <v>1202</v>
      </c>
      <c r="AG206" s="289"/>
      <c r="AH206" s="289" t="s">
        <v>985</v>
      </c>
      <c r="AI206" s="289"/>
      <c r="AJ206" s="291" t="s">
        <v>985</v>
      </c>
      <c r="AK206" s="291"/>
      <c r="AL206" s="290" t="s">
        <v>985</v>
      </c>
      <c r="AM206" s="289" t="s">
        <v>977</v>
      </c>
      <c r="AN206" s="289" t="s">
        <v>1023</v>
      </c>
      <c r="AO206" s="289"/>
      <c r="AP206" s="289" t="s">
        <v>1232</v>
      </c>
      <c r="AQ206" s="289"/>
      <c r="AS206" s="87">
        <v>1540</v>
      </c>
      <c r="AT206" s="88"/>
      <c r="AU206" s="405">
        <v>8</v>
      </c>
      <c r="AV206" s="405"/>
      <c r="AW206" s="405">
        <f>VLOOKUP(Таблица7[[#This Row],[Основное оружие]], Оружие[#All], 2, 0)</f>
        <v>2</v>
      </c>
      <c r="AX206" s="405">
        <f>IF(ISBLANK(Таблица7[[#This Row],[Дополнительное оружие]]),"", VLOOKUP(Таблица7[[#This Row],[Дополнительное оружие]], Оружие[#All], 2, 0))</f>
        <v>3</v>
      </c>
      <c r="AY20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0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0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206" s="405">
        <f>VLOOKUP(Таблица7[[#This Row],[Основное оружие]], Оружие[#All], 3, 0)</f>
        <v>6</v>
      </c>
      <c r="BC206" s="405">
        <f>IF(ISBLANK(Таблица7[[#This Row],[Дополнительное оружие]]),"", VLOOKUP(Таблица7[[#This Row],[Дополнительное оружие]], Оружие[#All], 3, 0))</f>
        <v>3</v>
      </c>
      <c r="BD20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6</v>
      </c>
      <c r="BE20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20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0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0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206" s="405">
        <f>Таблица7[[#This Row],[Броня]]+Таблица7[[#This Row],[Щит]]+Таблица7[[#This Row],[навык защиты]]</f>
        <v>16</v>
      </c>
      <c r="BK206" s="1006"/>
      <c r="BL206" s="1006"/>
      <c r="BM206" s="385"/>
      <c r="BN206" s="98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06" s="385">
        <v>1</v>
      </c>
      <c r="BP206" s="385">
        <v>-2</v>
      </c>
      <c r="BQ206" s="385">
        <v>0</v>
      </c>
      <c r="BR206" s="385">
        <v>-4</v>
      </c>
      <c r="BS206" s="385">
        <v>-2</v>
      </c>
      <c r="BT206" s="385">
        <v>11</v>
      </c>
      <c r="BU206" s="982" t="s">
        <v>1840</v>
      </c>
      <c r="BV206" s="982" t="s">
        <v>1844</v>
      </c>
      <c r="BW206" s="385"/>
      <c r="BX206" s="385"/>
      <c r="BY206" s="385"/>
      <c r="BZ206" s="89"/>
    </row>
    <row r="207" spans="1:78" s="87" customFormat="1" ht="40.5" customHeight="1" x14ac:dyDescent="0.25">
      <c r="A207" s="333">
        <v>206</v>
      </c>
      <c r="B207" s="289" t="s">
        <v>1302</v>
      </c>
      <c r="C207" s="289"/>
      <c r="D207" s="289" t="s">
        <v>1555</v>
      </c>
      <c r="E207" s="289" t="s">
        <v>1547</v>
      </c>
      <c r="F207" s="289"/>
      <c r="G207" s="289"/>
      <c r="H207" s="289"/>
      <c r="I207" s="653">
        <v>0.6</v>
      </c>
      <c r="J207" s="60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207" s="605">
        <f>Таблица7[[#This Row],[Размер отряда минимум]]*1.25</f>
        <v>15</v>
      </c>
      <c r="L207" s="605">
        <f>Таблица7[[#This Row],[Размер отряда норма]]*1.5</f>
        <v>22.5</v>
      </c>
      <c r="M207" s="606">
        <f>Таблица7[[#This Row],[Размер отряда минимум]]*2.5</f>
        <v>30</v>
      </c>
      <c r="N207" s="606"/>
      <c r="O207" s="606"/>
      <c r="P207" s="606"/>
      <c r="Q207" s="606"/>
      <c r="R207" s="87" t="s">
        <v>12</v>
      </c>
      <c r="S207" s="959" t="s">
        <v>2884</v>
      </c>
      <c r="T207" s="289" t="s">
        <v>975</v>
      </c>
      <c r="U207" s="736" t="s">
        <v>1007</v>
      </c>
      <c r="V207" s="88"/>
      <c r="W207" s="289" t="s">
        <v>1001</v>
      </c>
      <c r="X207" s="289" t="s">
        <v>1528</v>
      </c>
      <c r="Y207" s="289"/>
      <c r="Z207" s="289" t="s">
        <v>1036</v>
      </c>
      <c r="AA207" s="289"/>
      <c r="AB207" s="289"/>
      <c r="AC207" s="289"/>
      <c r="AD207" s="291" t="s">
        <v>1004</v>
      </c>
      <c r="AE207" s="291"/>
      <c r="AF207" s="289" t="s">
        <v>985</v>
      </c>
      <c r="AG207" s="289"/>
      <c r="AH207" s="289" t="s">
        <v>985</v>
      </c>
      <c r="AI207" s="289"/>
      <c r="AJ207" s="289" t="s">
        <v>985</v>
      </c>
      <c r="AK207" s="289"/>
      <c r="AL207" s="290" t="s">
        <v>1163</v>
      </c>
      <c r="AM207" s="289" t="s">
        <v>935</v>
      </c>
      <c r="AN207" s="289" t="s">
        <v>952</v>
      </c>
      <c r="AO207" s="289"/>
      <c r="AP207" s="289" t="s">
        <v>9</v>
      </c>
      <c r="AQ207" s="289"/>
      <c r="AR207" s="289"/>
      <c r="AS207" s="289">
        <v>1500</v>
      </c>
      <c r="AT207" s="88">
        <v>1576</v>
      </c>
      <c r="AU207" s="405">
        <v>10</v>
      </c>
      <c r="AV207" s="405"/>
      <c r="AW207" s="405">
        <f>VLOOKUP(Таблица7[[#This Row],[Основное оружие]], Оружие[#All], 2, 0)</f>
        <v>2</v>
      </c>
      <c r="AX207" s="405">
        <f>IF(ISBLANK(Таблица7[[#This Row],[Дополнительное оружие]]),"", VLOOKUP(Таблица7[[#This Row],[Дополнительное оружие]], Оружие[#All], 2, 0))</f>
        <v>5</v>
      </c>
      <c r="AY20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0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0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207" s="405">
        <f>VLOOKUP(Таблица7[[#This Row],[Основное оружие]], Оружие[#All], 3, 0)</f>
        <v>6</v>
      </c>
      <c r="BC207" s="405">
        <f>IF(ISBLANK(Таблица7[[#This Row],[Дополнительное оружие]]),"", VLOOKUP(Таблица7[[#This Row],[Дополнительное оружие]], Оружие[#All], 3, 0))</f>
        <v>3</v>
      </c>
      <c r="BD20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20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0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0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0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07" s="405">
        <f>Таблица7[[#This Row],[Броня]]+Таблица7[[#This Row],[Щит]]+Таблица7[[#This Row],[навык защиты]]</f>
        <v>29</v>
      </c>
      <c r="BK207" s="1006"/>
      <c r="BL207" s="1006"/>
      <c r="BM207" s="385"/>
      <c r="BN207" s="98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07" s="385">
        <v>3</v>
      </c>
      <c r="BP207" s="385">
        <v>-2</v>
      </c>
      <c r="BQ207" s="385">
        <v>0</v>
      </c>
      <c r="BR207" s="385">
        <v>-4</v>
      </c>
      <c r="BS207" s="385">
        <v>-2</v>
      </c>
      <c r="BT207" s="385">
        <v>11</v>
      </c>
      <c r="BU207" s="982" t="s">
        <v>1840</v>
      </c>
      <c r="BV207" s="982" t="s">
        <v>1844</v>
      </c>
      <c r="BW207" s="385"/>
      <c r="BX207" s="385"/>
      <c r="BY207" s="385"/>
      <c r="BZ207" s="89"/>
    </row>
    <row r="208" spans="1:78" s="87" customFormat="1" ht="40.5" customHeight="1" x14ac:dyDescent="0.25">
      <c r="A208" s="333">
        <v>207</v>
      </c>
      <c r="B208" s="289" t="s">
        <v>1302</v>
      </c>
      <c r="C208" s="289"/>
      <c r="D208" s="289" t="s">
        <v>1555</v>
      </c>
      <c r="E208" s="289" t="s">
        <v>1547</v>
      </c>
      <c r="F208" s="289"/>
      <c r="G208" s="289"/>
      <c r="H208" s="289"/>
      <c r="I208" s="653">
        <v>0.6</v>
      </c>
      <c r="J208" s="60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14.399999999999999</v>
      </c>
      <c r="K208" s="605">
        <f>Таблица7[[#This Row],[Размер отряда минимум]]*1.25</f>
        <v>18</v>
      </c>
      <c r="L208" s="605">
        <f>Таблица7[[#This Row],[Размер отряда норма]]*1.5</f>
        <v>27</v>
      </c>
      <c r="M208" s="606">
        <f>Таблица7[[#This Row],[Размер отряда минимум]]*2.5</f>
        <v>36</v>
      </c>
      <c r="N208" s="606"/>
      <c r="O208" s="606"/>
      <c r="P208" s="606"/>
      <c r="Q208" s="606"/>
      <c r="R208" s="87" t="s">
        <v>12</v>
      </c>
      <c r="S208" s="959" t="s">
        <v>2884</v>
      </c>
      <c r="T208" s="289" t="s">
        <v>976</v>
      </c>
      <c r="U208" s="736" t="s">
        <v>1007</v>
      </c>
      <c r="V208" s="88"/>
      <c r="W208" s="291" t="s">
        <v>1001</v>
      </c>
      <c r="X208" s="289" t="s">
        <v>1528</v>
      </c>
      <c r="Y208" s="289"/>
      <c r="Z208" s="289" t="s">
        <v>1511</v>
      </c>
      <c r="AA208" s="289"/>
      <c r="AB208" s="289"/>
      <c r="AC208" s="289"/>
      <c r="AD208" s="291" t="s">
        <v>1005</v>
      </c>
      <c r="AE208" s="291"/>
      <c r="AF208" s="289" t="s">
        <v>985</v>
      </c>
      <c r="AG208" s="289"/>
      <c r="AH208" s="289" t="s">
        <v>985</v>
      </c>
      <c r="AI208" s="289"/>
      <c r="AJ208" s="289" t="s">
        <v>985</v>
      </c>
      <c r="AK208" s="289"/>
      <c r="AL208" s="290" t="s">
        <v>985</v>
      </c>
      <c r="AM208" s="289" t="s">
        <v>935</v>
      </c>
      <c r="AN208" s="289" t="s">
        <v>952</v>
      </c>
      <c r="AO208" s="289"/>
      <c r="AP208" s="289" t="s">
        <v>9</v>
      </c>
      <c r="AQ208" s="289"/>
      <c r="AR208" s="289"/>
      <c r="AS208" s="289">
        <v>1576</v>
      </c>
      <c r="AT208" s="88"/>
      <c r="AU208" s="405">
        <v>10</v>
      </c>
      <c r="AV208" s="405"/>
      <c r="AW208" s="405">
        <f>VLOOKUP(Таблица7[[#This Row],[Основное оружие]], Оружие[#All], 2, 0)</f>
        <v>2</v>
      </c>
      <c r="AX208" s="405">
        <f>IF(ISBLANK(Таблица7[[#This Row],[Дополнительное оружие]]),"", VLOOKUP(Таблица7[[#This Row],[Дополнительное оружие]], Оружие[#All], 2, 0))</f>
        <v>3</v>
      </c>
      <c r="AY20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0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0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208" s="405">
        <f>VLOOKUP(Таблица7[[#This Row],[Основное оружие]], Оружие[#All], 3, 0)</f>
        <v>6</v>
      </c>
      <c r="BC208" s="405">
        <f>IF(ISBLANK(Таблица7[[#This Row],[Дополнительное оружие]]),"", VLOOKUP(Таблица7[[#This Row],[Дополнительное оружие]], Оружие[#All], 3, 0))</f>
        <v>3</v>
      </c>
      <c r="BD20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20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0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0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0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08" s="405">
        <f>Таблица7[[#This Row],[Броня]]+Таблица7[[#This Row],[Щит]]+Таблица7[[#This Row],[навык защиты]]</f>
        <v>28</v>
      </c>
      <c r="BK208" s="1006"/>
      <c r="BL208" s="1006"/>
      <c r="BM208" s="385"/>
      <c r="BN208" s="98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08" s="385">
        <v>3</v>
      </c>
      <c r="BP208" s="385">
        <v>-2</v>
      </c>
      <c r="BQ208" s="385">
        <v>0</v>
      </c>
      <c r="BR208" s="385">
        <v>-4</v>
      </c>
      <c r="BS208" s="385">
        <v>-2</v>
      </c>
      <c r="BT208" s="385">
        <v>11</v>
      </c>
      <c r="BU208" s="982" t="s">
        <v>1840</v>
      </c>
      <c r="BV208" s="982" t="s">
        <v>1844</v>
      </c>
      <c r="BW208" s="385"/>
      <c r="BX208" s="385"/>
      <c r="BY208" s="385"/>
      <c r="BZ208" s="89"/>
    </row>
    <row r="209" spans="1:78" s="40" customFormat="1" ht="40.5" customHeight="1" x14ac:dyDescent="0.25">
      <c r="A209" s="333">
        <v>208</v>
      </c>
      <c r="B209" s="288" t="s">
        <v>1303</v>
      </c>
      <c r="C209" s="288"/>
      <c r="D209" s="39" t="s">
        <v>1556</v>
      </c>
      <c r="E209" s="39" t="s">
        <v>1558</v>
      </c>
      <c r="F209" s="39"/>
      <c r="G209" s="39"/>
      <c r="H209" s="39"/>
      <c r="I209" s="644">
        <v>1</v>
      </c>
      <c r="J209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09" s="585">
        <f>Таблица7[[#This Row],[Размер отряда минимум]]*1.25</f>
        <v>112.5</v>
      </c>
      <c r="L209" s="585">
        <f>Таблица7[[#This Row],[Размер отряда норма]]*1.5</f>
        <v>168.75</v>
      </c>
      <c r="M209" s="586">
        <f>Таблица7[[#This Row],[Размер отряда минимум]]*2.5</f>
        <v>225</v>
      </c>
      <c r="N209" s="586"/>
      <c r="O209" s="586"/>
      <c r="P209" s="586"/>
      <c r="Q209" s="586"/>
      <c r="R209" s="40" t="s">
        <v>13</v>
      </c>
      <c r="S209" s="960" t="s">
        <v>2885</v>
      </c>
      <c r="T209" s="39" t="s">
        <v>975</v>
      </c>
      <c r="U209" s="179" t="s">
        <v>1161</v>
      </c>
      <c r="V209" s="161"/>
      <c r="W209" s="39" t="s">
        <v>1001</v>
      </c>
      <c r="X209" s="90" t="s">
        <v>1160</v>
      </c>
      <c r="Y209" s="90"/>
      <c r="Z209" s="90"/>
      <c r="AA209" s="90"/>
      <c r="AB209" s="90"/>
      <c r="AC209" s="90"/>
      <c r="AD209" s="178" t="s">
        <v>991</v>
      </c>
      <c r="AE209" s="178"/>
      <c r="AF209" s="39" t="s">
        <v>1211</v>
      </c>
      <c r="AG209" s="39"/>
      <c r="AH209" s="39" t="s">
        <v>985</v>
      </c>
      <c r="AI209" s="39"/>
      <c r="AJ209" s="178" t="s">
        <v>985</v>
      </c>
      <c r="AK209" s="178"/>
      <c r="AL209" s="199" t="s">
        <v>985</v>
      </c>
      <c r="AM209" s="39" t="s">
        <v>935</v>
      </c>
      <c r="AN209" s="39" t="s">
        <v>955</v>
      </c>
      <c r="AO209" s="39"/>
      <c r="AP209" s="39" t="s">
        <v>1077</v>
      </c>
      <c r="AQ209" s="39"/>
      <c r="AS209" s="40">
        <v>1500</v>
      </c>
      <c r="AT209" s="43">
        <v>1563</v>
      </c>
      <c r="AU209" s="405">
        <v>1</v>
      </c>
      <c r="AV209" s="405"/>
      <c r="AW209" s="405">
        <f>VLOOKUP(Таблица7[[#This Row],[Основное оружие]], Оружие[#All], 2, 0)</f>
        <v>4</v>
      </c>
      <c r="AX209" s="405" t="str">
        <f>IF(ISBLANK(Таблица7[[#This Row],[Дополнительное оружие]]),"", VLOOKUP(Таблица7[[#This Row],[Дополнительное оружие]], Оружие[#All], 2, 0))</f>
        <v/>
      </c>
      <c r="AY20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20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20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09" s="405">
        <f>VLOOKUP(Таблица7[[#This Row],[Основное оружие]], Оружие[#All], 3, 0)</f>
        <v>3</v>
      </c>
      <c r="BC209" s="405" t="str">
        <f>IF(ISBLANK(Таблица7[[#This Row],[Дополнительное оружие]]),"", VLOOKUP(Таблица7[[#This Row],[Дополнительное оружие]], Оружие[#All], 3, 0))</f>
        <v/>
      </c>
      <c r="BD20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</v>
      </c>
      <c r="BE20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0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0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0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0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09" s="405">
        <f>Таблица7[[#This Row],[Броня]]+Таблица7[[#This Row],[Щит]]+Таблица7[[#This Row],[навык защиты]]</f>
        <v>4</v>
      </c>
      <c r="BK209" s="1006"/>
      <c r="BL209" s="1006"/>
      <c r="BM209" s="375"/>
      <c r="BN209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09" s="375">
        <v>3</v>
      </c>
      <c r="BP209" s="375">
        <v>0</v>
      </c>
      <c r="BQ209" s="375">
        <v>-2</v>
      </c>
      <c r="BR209" s="375">
        <v>0</v>
      </c>
      <c r="BS209" s="375">
        <v>2</v>
      </c>
      <c r="BT209" s="375">
        <v>2</v>
      </c>
      <c r="BU209" s="971" t="s">
        <v>1839</v>
      </c>
      <c r="BV209" s="971" t="s">
        <v>1842</v>
      </c>
      <c r="BW209" s="375"/>
      <c r="BX209" s="375"/>
      <c r="BY209" s="375"/>
      <c r="BZ209" s="44"/>
    </row>
    <row r="210" spans="1:78" s="40" customFormat="1" ht="40.5" customHeight="1" x14ac:dyDescent="0.25">
      <c r="A210" s="333">
        <v>209</v>
      </c>
      <c r="B210" s="288" t="s">
        <v>1304</v>
      </c>
      <c r="C210" s="288"/>
      <c r="D210" s="39" t="s">
        <v>1556</v>
      </c>
      <c r="E210" s="39" t="s">
        <v>1571</v>
      </c>
      <c r="F210" s="39"/>
      <c r="G210" s="39"/>
      <c r="H210" s="39"/>
      <c r="I210" s="644">
        <v>0.7</v>
      </c>
      <c r="J210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70</v>
      </c>
      <c r="K210" s="585">
        <f>Таблица7[[#This Row],[Размер отряда минимум]]*1.25</f>
        <v>87.5</v>
      </c>
      <c r="L210" s="585">
        <f>Таблица7[[#This Row],[Размер отряда норма]]*1.5</f>
        <v>131.25</v>
      </c>
      <c r="M210" s="586">
        <f>Таблица7[[#This Row],[Размер отряда минимум]]*2.5</f>
        <v>175</v>
      </c>
      <c r="N210" s="586"/>
      <c r="O210" s="586"/>
      <c r="P210" s="586"/>
      <c r="Q210" s="586"/>
      <c r="R210" s="40" t="s">
        <v>13</v>
      </c>
      <c r="S210" s="960" t="s">
        <v>2885</v>
      </c>
      <c r="T210" s="39" t="s">
        <v>976</v>
      </c>
      <c r="U210" s="737" t="s">
        <v>1706</v>
      </c>
      <c r="V210" s="565"/>
      <c r="W210" s="39" t="s">
        <v>1001</v>
      </c>
      <c r="X210" s="39" t="s">
        <v>1468</v>
      </c>
      <c r="Y210" s="39"/>
      <c r="Z210" s="39" t="s">
        <v>1036</v>
      </c>
      <c r="AA210" s="39"/>
      <c r="AB210" s="39" t="s">
        <v>1505</v>
      </c>
      <c r="AC210" s="39"/>
      <c r="AD210" s="179" t="s">
        <v>1158</v>
      </c>
      <c r="AE210" s="179"/>
      <c r="AF210" s="39" t="s">
        <v>1211</v>
      </c>
      <c r="AG210" s="39"/>
      <c r="AH210" s="39" t="s">
        <v>985</v>
      </c>
      <c r="AI210" s="39"/>
      <c r="AJ210" s="178" t="s">
        <v>985</v>
      </c>
      <c r="AK210" s="178"/>
      <c r="AL210" s="199" t="s">
        <v>985</v>
      </c>
      <c r="AM210" s="39" t="s">
        <v>977</v>
      </c>
      <c r="AN210" s="39" t="s">
        <v>997</v>
      </c>
      <c r="AO210" s="39"/>
      <c r="AP210" s="39" t="s">
        <v>1077</v>
      </c>
      <c r="AQ210" s="39"/>
      <c r="AS210" s="40">
        <v>1563</v>
      </c>
      <c r="AT210" s="43"/>
      <c r="AU210" s="405">
        <v>4</v>
      </c>
      <c r="AV210" s="405" t="s">
        <v>1827</v>
      </c>
      <c r="AW210" s="405">
        <f>VLOOKUP(Таблица7[[#This Row],[Основное оружие]], Оружие[#All], 2, 0)</f>
        <v>0</v>
      </c>
      <c r="AX210" s="405">
        <f>IF(ISBLANK(Таблица7[[#This Row],[Дополнительное оружие]]),"", VLOOKUP(Таблица7[[#This Row],[Дополнительное оружие]], Оружие[#All], 2, 0))</f>
        <v>5</v>
      </c>
      <c r="AY21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1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1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10" s="405">
        <f>VLOOKUP(Таблица7[[#This Row],[Основное оружие]], Оружие[#All], 3, 0)</f>
        <v>1</v>
      </c>
      <c r="BC210" s="405">
        <f>IF(ISBLANK(Таблица7[[#This Row],[Дополнительное оружие]]),"", VLOOKUP(Таблица7[[#This Row],[Дополнительное оружие]], Оружие[#All], 3, 0))</f>
        <v>3</v>
      </c>
      <c r="BD21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1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1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1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1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1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7</v>
      </c>
      <c r="BJ210" s="405">
        <f>Таблица7[[#This Row],[Броня]]+Таблица7[[#This Row],[Щит]]+Таблица7[[#This Row],[навык защиты]]</f>
        <v>24</v>
      </c>
      <c r="BK210" s="1006"/>
      <c r="BL210" s="1006"/>
      <c r="BM210" s="375"/>
      <c r="BN210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10" s="375">
        <v>3</v>
      </c>
      <c r="BP210" s="375">
        <v>1</v>
      </c>
      <c r="BQ210" s="375">
        <v>-2</v>
      </c>
      <c r="BR210" s="375">
        <v>2</v>
      </c>
      <c r="BS210" s="375">
        <v>2</v>
      </c>
      <c r="BT210" s="375">
        <v>7</v>
      </c>
      <c r="BU210" s="971" t="s">
        <v>1576</v>
      </c>
      <c r="BV210" s="971" t="s">
        <v>1843</v>
      </c>
      <c r="BW210" s="375"/>
      <c r="BX210" s="375"/>
      <c r="BY210" s="375"/>
      <c r="BZ210" s="44"/>
    </row>
    <row r="211" spans="1:78" s="40" customFormat="1" ht="40.5" customHeight="1" x14ac:dyDescent="0.25">
      <c r="A211" s="333">
        <v>210</v>
      </c>
      <c r="B211" s="288" t="s">
        <v>1305</v>
      </c>
      <c r="C211" s="288"/>
      <c r="D211" s="39" t="s">
        <v>1556</v>
      </c>
      <c r="E211" s="39" t="s">
        <v>1561</v>
      </c>
      <c r="F211" s="39"/>
      <c r="G211" s="39"/>
      <c r="H211" s="39"/>
      <c r="I211" s="644">
        <v>0.75</v>
      </c>
      <c r="J211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11" s="585">
        <f>Таблица7[[#This Row],[Размер отряда минимум]]*1.25</f>
        <v>93.75</v>
      </c>
      <c r="L211" s="585">
        <f>Таблица7[[#This Row],[Размер отряда норма]]*1.5</f>
        <v>140.625</v>
      </c>
      <c r="M211" s="586">
        <f>Таблица7[[#This Row],[Размер отряда минимум]]*2.5</f>
        <v>187.5</v>
      </c>
      <c r="N211" s="586"/>
      <c r="O211" s="586"/>
      <c r="P211" s="586"/>
      <c r="Q211" s="586"/>
      <c r="R211" s="40" t="s">
        <v>13</v>
      </c>
      <c r="S211" s="960" t="s">
        <v>2885</v>
      </c>
      <c r="T211" s="39" t="s">
        <v>976</v>
      </c>
      <c r="U211" s="178" t="s">
        <v>1037</v>
      </c>
      <c r="V211" s="46"/>
      <c r="W211" s="178" t="s">
        <v>993</v>
      </c>
      <c r="X211" s="39" t="s">
        <v>994</v>
      </c>
      <c r="Y211" s="39"/>
      <c r="Z211" s="39"/>
      <c r="AA211" s="39"/>
      <c r="AB211" s="39"/>
      <c r="AC211" s="39"/>
      <c r="AD211" s="179" t="s">
        <v>1158</v>
      </c>
      <c r="AE211" s="179"/>
      <c r="AF211" s="39" t="s">
        <v>1211</v>
      </c>
      <c r="AG211" s="39"/>
      <c r="AH211" s="39" t="s">
        <v>985</v>
      </c>
      <c r="AI211" s="39"/>
      <c r="AJ211" s="178" t="s">
        <v>985</v>
      </c>
      <c r="AK211" s="178"/>
      <c r="AL211" s="199" t="s">
        <v>985</v>
      </c>
      <c r="AM211" s="39" t="s">
        <v>978</v>
      </c>
      <c r="AN211" s="39" t="s">
        <v>1023</v>
      </c>
      <c r="AO211" s="39"/>
      <c r="AP211" s="39" t="s">
        <v>1078</v>
      </c>
      <c r="AQ211" s="39"/>
      <c r="AS211" s="40">
        <v>1563</v>
      </c>
      <c r="AT211" s="43"/>
      <c r="AU211" s="444">
        <v>4</v>
      </c>
      <c r="AV211" s="405"/>
      <c r="AW211" s="405">
        <f>VLOOKUP(Таблица7[[#This Row],[Основное оружие]], Оружие[#All], 2, 0)</f>
        <v>1</v>
      </c>
      <c r="AX211" s="405" t="str">
        <f>IF(ISBLANK(Таблица7[[#This Row],[Дополнительное оружие]]),"", VLOOKUP(Таблица7[[#This Row],[Дополнительное оружие]], Оружие[#All], 2, 0))</f>
        <v/>
      </c>
      <c r="AY21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21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3</v>
      </c>
      <c r="BA211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11" s="405">
        <f>VLOOKUP(Таблица7[[#This Row],[Основное оружие]], Оружие[#All], 3, 0)</f>
        <v>1</v>
      </c>
      <c r="BC211" s="405" t="str">
        <f>IF(ISBLANK(Таблица7[[#This Row],[Дополнительное оружие]]),"", VLOOKUP(Таблица7[[#This Row],[Дополнительное оружие]], Оружие[#All], 3, 0))</f>
        <v/>
      </c>
      <c r="BD21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1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1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1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1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1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11" s="405">
        <f>Таблица7[[#This Row],[Броня]]+Таблица7[[#This Row],[Щит]]+Таблица7[[#This Row],[навык защиты]]</f>
        <v>15</v>
      </c>
      <c r="BK211" s="1006"/>
      <c r="BL211" s="1006"/>
      <c r="BM211" s="375"/>
      <c r="BN211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11" s="375">
        <v>3</v>
      </c>
      <c r="BP211" s="375">
        <v>-1</v>
      </c>
      <c r="BQ211" s="375">
        <v>-2</v>
      </c>
      <c r="BR211" s="375">
        <v>-2</v>
      </c>
      <c r="BS211" s="375">
        <v>2</v>
      </c>
      <c r="BT211" s="375">
        <v>7</v>
      </c>
      <c r="BU211" s="971" t="s">
        <v>1839</v>
      </c>
      <c r="BV211" s="971" t="s">
        <v>1843</v>
      </c>
      <c r="BW211" s="375"/>
      <c r="BX211" s="375"/>
      <c r="BY211" s="375"/>
      <c r="BZ211" s="44"/>
    </row>
    <row r="212" spans="1:78" s="40" customFormat="1" ht="40.5" customHeight="1" x14ac:dyDescent="0.25">
      <c r="A212" s="333">
        <v>211</v>
      </c>
      <c r="B212" s="288" t="s">
        <v>1306</v>
      </c>
      <c r="C212" s="288"/>
      <c r="D212" s="39" t="s">
        <v>1556</v>
      </c>
      <c r="E212" s="39" t="s">
        <v>1448</v>
      </c>
      <c r="F212" s="39"/>
      <c r="G212" s="39"/>
      <c r="H212" s="39"/>
      <c r="I212" s="644">
        <v>0.75</v>
      </c>
      <c r="J212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12" s="585">
        <f>Таблица7[[#This Row],[Размер отряда минимум]]*1.25</f>
        <v>93.75</v>
      </c>
      <c r="L212" s="585">
        <f>Таблица7[[#This Row],[Размер отряда норма]]*1.5</f>
        <v>140.625</v>
      </c>
      <c r="M212" s="586">
        <f>Таблица7[[#This Row],[Размер отряда минимум]]*2.5</f>
        <v>187.5</v>
      </c>
      <c r="N212" s="586"/>
      <c r="O212" s="586"/>
      <c r="P212" s="586"/>
      <c r="Q212" s="586"/>
      <c r="R212" s="40" t="s">
        <v>13</v>
      </c>
      <c r="S212" s="960" t="s">
        <v>2885</v>
      </c>
      <c r="T212" s="39" t="s">
        <v>976</v>
      </c>
      <c r="U212" s="178" t="s">
        <v>1516</v>
      </c>
      <c r="V212" s="46"/>
      <c r="W212" s="178" t="s">
        <v>1001</v>
      </c>
      <c r="X212" s="39" t="s">
        <v>1440</v>
      </c>
      <c r="Y212" s="39"/>
      <c r="Z212" s="39"/>
      <c r="AA212" s="39"/>
      <c r="AB212" s="39" t="s">
        <v>944</v>
      </c>
      <c r="AC212" s="39"/>
      <c r="AD212" s="179" t="s">
        <v>1158</v>
      </c>
      <c r="AE212" s="179"/>
      <c r="AF212" s="39" t="s">
        <v>1211</v>
      </c>
      <c r="AG212" s="39"/>
      <c r="AH212" s="39" t="s">
        <v>985</v>
      </c>
      <c r="AI212" s="39"/>
      <c r="AJ212" s="178" t="s">
        <v>985</v>
      </c>
      <c r="AK212" s="178"/>
      <c r="AL212" s="199" t="s">
        <v>985</v>
      </c>
      <c r="AM212" s="39" t="s">
        <v>978</v>
      </c>
      <c r="AN212" s="39" t="s">
        <v>1023</v>
      </c>
      <c r="AO212" s="39"/>
      <c r="AP212" s="39" t="s">
        <v>1079</v>
      </c>
      <c r="AQ212" s="39"/>
      <c r="AS212" s="40">
        <v>1563</v>
      </c>
      <c r="AT212" s="43"/>
      <c r="AU212" s="405">
        <v>4</v>
      </c>
      <c r="AV212" s="405"/>
      <c r="AW212" s="405">
        <f>VLOOKUP(Таблица7[[#This Row],[Основное оружие]], Оружие[#All], 2, 0)</f>
        <v>4</v>
      </c>
      <c r="AX212" s="405" t="str">
        <f>IF(ISBLANK(Таблица7[[#This Row],[Дополнительное оружие]]),"", VLOOKUP(Таблица7[[#This Row],[Дополнительное оружие]], Оружие[#All], 2, 0))</f>
        <v/>
      </c>
      <c r="AY21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1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21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12" s="405">
        <f>VLOOKUP(Таблица7[[#This Row],[Основное оружие]], Оружие[#All], 3, 0)</f>
        <v>3</v>
      </c>
      <c r="BC212" s="405" t="str">
        <f>IF(ISBLANK(Таблица7[[#This Row],[Дополнительное оружие]]),"", VLOOKUP(Таблица7[[#This Row],[Дополнительное оружие]], Оружие[#All], 3, 0))</f>
        <v/>
      </c>
      <c r="BD21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1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1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1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1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1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212" s="405">
        <f>Таблица7[[#This Row],[Броня]]+Таблица7[[#This Row],[Щит]]+Таблица7[[#This Row],[навык защиты]]</f>
        <v>22</v>
      </c>
      <c r="BK212" s="1006"/>
      <c r="BL212" s="1006"/>
      <c r="BM212" s="375"/>
      <c r="BN212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12" s="375">
        <v>3</v>
      </c>
      <c r="BP212" s="375">
        <v>1</v>
      </c>
      <c r="BQ212" s="375">
        <v>-2</v>
      </c>
      <c r="BR212" s="375">
        <v>2</v>
      </c>
      <c r="BS212" s="375">
        <v>2</v>
      </c>
      <c r="BT212" s="375">
        <v>7</v>
      </c>
      <c r="BU212" s="971" t="s">
        <v>1839</v>
      </c>
      <c r="BV212" s="971" t="s">
        <v>1843</v>
      </c>
      <c r="BW212" s="375"/>
      <c r="BX212" s="375"/>
      <c r="BY212" s="375"/>
      <c r="BZ212" s="44"/>
    </row>
    <row r="213" spans="1:78" s="40" customFormat="1" ht="40.5" customHeight="1" x14ac:dyDescent="0.25">
      <c r="A213" s="333">
        <v>212</v>
      </c>
      <c r="B213" s="288" t="s">
        <v>1307</v>
      </c>
      <c r="C213" s="288"/>
      <c r="D213" s="39" t="s">
        <v>1556</v>
      </c>
      <c r="E213" s="39" t="s">
        <v>1448</v>
      </c>
      <c r="F213" s="39"/>
      <c r="G213" s="39"/>
      <c r="H213" s="39"/>
      <c r="I213" s="644">
        <v>0.75</v>
      </c>
      <c r="J213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13" s="585">
        <f>Таблица7[[#This Row],[Размер отряда минимум]]*1.25</f>
        <v>93.75</v>
      </c>
      <c r="L213" s="585">
        <f>Таблица7[[#This Row],[Размер отряда норма]]*1.5</f>
        <v>140.625</v>
      </c>
      <c r="M213" s="586">
        <f>Таблица7[[#This Row],[Размер отряда минимум]]*2.5</f>
        <v>187.5</v>
      </c>
      <c r="N213" s="586"/>
      <c r="O213" s="586"/>
      <c r="P213" s="586"/>
      <c r="Q213" s="586"/>
      <c r="R213" s="40" t="s">
        <v>13</v>
      </c>
      <c r="S213" s="960" t="s">
        <v>2885</v>
      </c>
      <c r="T213" s="39" t="s">
        <v>976</v>
      </c>
      <c r="U213" s="178" t="s">
        <v>1044</v>
      </c>
      <c r="V213" s="46"/>
      <c r="W213" s="39" t="s">
        <v>993</v>
      </c>
      <c r="X213" s="39" t="s">
        <v>996</v>
      </c>
      <c r="Y213" s="39"/>
      <c r="Z213" s="39"/>
      <c r="AA213" s="39"/>
      <c r="AB213" s="39"/>
      <c r="AC213" s="39"/>
      <c r="AD213" s="179" t="s">
        <v>1158</v>
      </c>
      <c r="AE213" s="179"/>
      <c r="AF213" s="39" t="s">
        <v>1211</v>
      </c>
      <c r="AG213" s="39"/>
      <c r="AH213" s="39" t="s">
        <v>985</v>
      </c>
      <c r="AI213" s="39"/>
      <c r="AJ213" s="178" t="s">
        <v>985</v>
      </c>
      <c r="AK213" s="178"/>
      <c r="AL213" s="199" t="s">
        <v>985</v>
      </c>
      <c r="AM213" s="39" t="s">
        <v>978</v>
      </c>
      <c r="AN213" s="39" t="s">
        <v>1023</v>
      </c>
      <c r="AO213" s="39"/>
      <c r="AP213" s="45" t="s">
        <v>1100</v>
      </c>
      <c r="AQ213" s="45"/>
      <c r="AS213" s="40">
        <v>1563</v>
      </c>
      <c r="AT213" s="43"/>
      <c r="AU213" s="405">
        <v>4</v>
      </c>
      <c r="AV213" s="405"/>
      <c r="AW213" s="405">
        <f>VLOOKUP(Таблица7[[#This Row],[Основное оружие]], Оружие[#All], 2, 0)</f>
        <v>7</v>
      </c>
      <c r="AX213" s="405" t="str">
        <f>IF(ISBLANK(Таблица7[[#This Row],[Дополнительное оружие]]),"", VLOOKUP(Таблица7[[#This Row],[Дополнительное оружие]], Оружие[#All], 2, 0))</f>
        <v/>
      </c>
      <c r="AY21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1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1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13" s="405">
        <f>VLOOKUP(Таблица7[[#This Row],[Основное оружие]], Оружие[#All], 3, 0)</f>
        <v>3</v>
      </c>
      <c r="BC213" s="405" t="str">
        <f>IF(ISBLANK(Таблица7[[#This Row],[Дополнительное оружие]]),"", VLOOKUP(Таблица7[[#This Row],[Дополнительное оружие]], Оружие[#All], 3, 0))</f>
        <v/>
      </c>
      <c r="BD21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1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1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1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1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1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13" s="405">
        <f>Таблица7[[#This Row],[Броня]]+Таблица7[[#This Row],[Щит]]+Таблица7[[#This Row],[навык защиты]]</f>
        <v>17</v>
      </c>
      <c r="BK213" s="1006"/>
      <c r="BL213" s="1006"/>
      <c r="BM213" s="375"/>
      <c r="BN213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13" s="375">
        <v>3</v>
      </c>
      <c r="BP213" s="375">
        <v>0</v>
      </c>
      <c r="BQ213" s="375">
        <v>-2</v>
      </c>
      <c r="BR213" s="375">
        <v>-1</v>
      </c>
      <c r="BS213" s="375">
        <v>2</v>
      </c>
      <c r="BT213" s="375">
        <v>7</v>
      </c>
      <c r="BU213" s="971" t="s">
        <v>1839</v>
      </c>
      <c r="BV213" s="971" t="s">
        <v>1843</v>
      </c>
      <c r="BW213" s="375"/>
      <c r="BX213" s="375"/>
      <c r="BY213" s="375"/>
      <c r="BZ213" s="44"/>
    </row>
    <row r="214" spans="1:78" s="40" customFormat="1" ht="40.5" customHeight="1" x14ac:dyDescent="0.25">
      <c r="A214" s="333">
        <v>213</v>
      </c>
      <c r="B214" s="288" t="s">
        <v>1308</v>
      </c>
      <c r="C214" s="288"/>
      <c r="D214" s="39" t="s">
        <v>1556</v>
      </c>
      <c r="E214" s="39" t="s">
        <v>1562</v>
      </c>
      <c r="F214" s="39"/>
      <c r="G214" s="39"/>
      <c r="H214" s="39"/>
      <c r="I214" s="644">
        <v>0.75</v>
      </c>
      <c r="J214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214" s="585">
        <f>Таблица7[[#This Row],[Размер отряда минимум]]*1.25</f>
        <v>84.375</v>
      </c>
      <c r="L214" s="585">
        <f>Таблица7[[#This Row],[Размер отряда норма]]*1.5</f>
        <v>126.5625</v>
      </c>
      <c r="M214" s="586">
        <f>Таблица7[[#This Row],[Размер отряда минимум]]*2.5</f>
        <v>168.75</v>
      </c>
      <c r="N214" s="586"/>
      <c r="O214" s="586"/>
      <c r="P214" s="586"/>
      <c r="Q214" s="586"/>
      <c r="R214" s="40" t="s">
        <v>13</v>
      </c>
      <c r="S214" s="960" t="s">
        <v>2885</v>
      </c>
      <c r="T214" s="39" t="s">
        <v>976</v>
      </c>
      <c r="U214" s="178" t="s">
        <v>1049</v>
      </c>
      <c r="V214" s="46"/>
      <c r="W214" s="39" t="s">
        <v>993</v>
      </c>
      <c r="X214" s="39" t="s">
        <v>994</v>
      </c>
      <c r="Y214" s="39"/>
      <c r="Z214" s="39"/>
      <c r="AA214" s="39"/>
      <c r="AB214" s="39"/>
      <c r="AC214" s="39"/>
      <c r="AD214" s="179" t="s">
        <v>1482</v>
      </c>
      <c r="AE214" s="179"/>
      <c r="AF214" s="90" t="s">
        <v>1481</v>
      </c>
      <c r="AG214" s="90"/>
      <c r="AH214" s="39" t="s">
        <v>985</v>
      </c>
      <c r="AI214" s="39"/>
      <c r="AJ214" s="90" t="s">
        <v>1048</v>
      </c>
      <c r="AK214" s="90"/>
      <c r="AL214" s="199" t="s">
        <v>985</v>
      </c>
      <c r="AM214" s="925" t="s">
        <v>935</v>
      </c>
      <c r="AN214" s="45" t="s">
        <v>997</v>
      </c>
      <c r="AO214" s="45"/>
      <c r="AP214" s="39" t="s">
        <v>1080</v>
      </c>
      <c r="AQ214" s="39"/>
      <c r="AS214" s="40">
        <v>1563</v>
      </c>
      <c r="AT214" s="43"/>
      <c r="AU214" s="444">
        <v>5</v>
      </c>
      <c r="AV214" s="405"/>
      <c r="AW214" s="405">
        <f>VLOOKUP(Таблица7[[#This Row],[Основное оружие]], Оружие[#All], 2, 0)</f>
        <v>1</v>
      </c>
      <c r="AX214" s="405" t="str">
        <f>IF(ISBLANK(Таблица7[[#This Row],[Дополнительное оружие]]),"", VLOOKUP(Таблица7[[#This Row],[Дополнительное оружие]], Оружие[#All], 2, 0))</f>
        <v/>
      </c>
      <c r="AY21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21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3</v>
      </c>
      <c r="BA214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14" s="405">
        <f>VLOOKUP(Таблица7[[#This Row],[Основное оружие]], Оружие[#All], 3, 0)</f>
        <v>1</v>
      </c>
      <c r="BC214" s="405" t="str">
        <f>IF(ISBLANK(Таблица7[[#This Row],[Дополнительное оружие]]),"", VLOOKUP(Таблица7[[#This Row],[Дополнительное оружие]], Оружие[#All], 3, 0))</f>
        <v/>
      </c>
      <c r="BD21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1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1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1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21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1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14" s="405">
        <f>Таблица7[[#This Row],[Броня]]+Таблица7[[#This Row],[Щит]]+Таблица7[[#This Row],[навык защиты]]</f>
        <v>20</v>
      </c>
      <c r="BK214" s="1006"/>
      <c r="BL214" s="1006"/>
      <c r="BM214" s="375"/>
      <c r="BN214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14" s="375">
        <v>3</v>
      </c>
      <c r="BP214" s="375">
        <v>-1</v>
      </c>
      <c r="BQ214" s="375">
        <v>-2</v>
      </c>
      <c r="BR214" s="375">
        <v>-2</v>
      </c>
      <c r="BS214" s="375">
        <v>2</v>
      </c>
      <c r="BT214" s="375">
        <v>9</v>
      </c>
      <c r="BU214" s="971" t="s">
        <v>1576</v>
      </c>
      <c r="BV214" s="971" t="s">
        <v>1844</v>
      </c>
      <c r="BW214" s="375"/>
      <c r="BX214" s="375"/>
      <c r="BY214" s="375"/>
      <c r="BZ214" s="44"/>
    </row>
    <row r="215" spans="1:78" s="40" customFormat="1" ht="40.5" customHeight="1" x14ac:dyDescent="0.25">
      <c r="A215" s="333">
        <v>214</v>
      </c>
      <c r="B215" s="288" t="s">
        <v>1309</v>
      </c>
      <c r="C215" s="288"/>
      <c r="D215" s="39" t="s">
        <v>1555</v>
      </c>
      <c r="E215" s="39" t="s">
        <v>1570</v>
      </c>
      <c r="F215" s="39"/>
      <c r="G215" s="39"/>
      <c r="H215" s="39"/>
      <c r="I215" s="644">
        <v>0.75</v>
      </c>
      <c r="J215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215" s="585">
        <f>Таблица7[[#This Row],[Размер отряда минимум]]*1.25</f>
        <v>37.5</v>
      </c>
      <c r="L215" s="585">
        <f>Таблица7[[#This Row],[Размер отряда норма]]*1.5</f>
        <v>56.25</v>
      </c>
      <c r="M215" s="586">
        <f>Таблица7[[#This Row],[Размер отряда минимум]]*2.5</f>
        <v>75</v>
      </c>
      <c r="N215" s="586"/>
      <c r="O215" s="586"/>
      <c r="P215" s="586"/>
      <c r="Q215" s="586"/>
      <c r="R215" s="40" t="s">
        <v>13</v>
      </c>
      <c r="S215" s="960" t="s">
        <v>2885</v>
      </c>
      <c r="T215" s="39" t="s">
        <v>976</v>
      </c>
      <c r="U215" s="178" t="s">
        <v>1026</v>
      </c>
      <c r="V215" s="46"/>
      <c r="W215" s="178" t="s">
        <v>1001</v>
      </c>
      <c r="X215" s="39" t="s">
        <v>1468</v>
      </c>
      <c r="Y215" s="39"/>
      <c r="Z215" s="39" t="s">
        <v>1440</v>
      </c>
      <c r="AA215" s="39"/>
      <c r="AB215" s="39"/>
      <c r="AC215" s="39"/>
      <c r="AD215" s="178" t="s">
        <v>985</v>
      </c>
      <c r="AE215" s="178"/>
      <c r="AF215" s="39" t="s">
        <v>991</v>
      </c>
      <c r="AG215" s="39"/>
      <c r="AH215" s="39" t="s">
        <v>985</v>
      </c>
      <c r="AI215" s="39"/>
      <c r="AJ215" s="178" t="s">
        <v>985</v>
      </c>
      <c r="AK215" s="178"/>
      <c r="AL215" s="199" t="s">
        <v>985</v>
      </c>
      <c r="AM215" s="39" t="s">
        <v>978</v>
      </c>
      <c r="AN215" s="39" t="s">
        <v>992</v>
      </c>
      <c r="AO215" s="39"/>
      <c r="AP215" s="39" t="s">
        <v>1077</v>
      </c>
      <c r="AQ215" s="39"/>
      <c r="AS215" s="40">
        <v>1563</v>
      </c>
      <c r="AT215" s="43"/>
      <c r="AU215" s="405">
        <v>3</v>
      </c>
      <c r="AV215" s="405" t="s">
        <v>1827</v>
      </c>
      <c r="AW215" s="405">
        <f>VLOOKUP(Таблица7[[#This Row],[Основное оружие]], Оружие[#All], 2, 0)</f>
        <v>0</v>
      </c>
      <c r="AX215" s="405">
        <f>IF(ISBLANK(Таблица7[[#This Row],[Дополнительное оружие]]),"", VLOOKUP(Таблица7[[#This Row],[Дополнительное оружие]], Оружие[#All], 2, 0))</f>
        <v>4</v>
      </c>
      <c r="AY21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1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1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15" s="405">
        <f>VLOOKUP(Таблица7[[#This Row],[Основное оружие]], Оружие[#All], 3, 0)</f>
        <v>1</v>
      </c>
      <c r="BC215" s="405">
        <f>IF(ISBLANK(Таблица7[[#This Row],[Дополнительное оружие]]),"", VLOOKUP(Таблица7[[#This Row],[Дополнительное оружие]], Оружие[#All], 3, 0))</f>
        <v>3</v>
      </c>
      <c r="BD21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1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21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1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1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1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15" s="405">
        <f>Таблица7[[#This Row],[Броня]]+Таблица7[[#This Row],[Щит]]+Таблица7[[#This Row],[навык защиты]]</f>
        <v>3</v>
      </c>
      <c r="BK215" s="1008" t="s">
        <v>1589</v>
      </c>
      <c r="BL215" s="1008"/>
      <c r="BM215" s="375"/>
      <c r="BN215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15" s="375">
        <v>3</v>
      </c>
      <c r="BP215" s="375">
        <v>-2</v>
      </c>
      <c r="BQ215" s="375">
        <v>0</v>
      </c>
      <c r="BR215" s="375">
        <v>-4</v>
      </c>
      <c r="BS215" s="375">
        <v>-2</v>
      </c>
      <c r="BT215" s="375">
        <v>7</v>
      </c>
      <c r="BU215" s="971" t="s">
        <v>1576</v>
      </c>
      <c r="BV215" s="971" t="s">
        <v>1843</v>
      </c>
      <c r="BW215" s="375"/>
      <c r="BX215" s="375"/>
      <c r="BY215" s="375"/>
      <c r="BZ215" s="44"/>
    </row>
    <row r="216" spans="1:78" s="40" customFormat="1" ht="40.5" customHeight="1" x14ac:dyDescent="0.25">
      <c r="A216" s="333">
        <v>215</v>
      </c>
      <c r="B216" s="288" t="s">
        <v>1310</v>
      </c>
      <c r="C216" s="288"/>
      <c r="D216" s="39" t="s">
        <v>1555</v>
      </c>
      <c r="E216" s="39" t="s">
        <v>1448</v>
      </c>
      <c r="F216" s="39"/>
      <c r="G216" s="39"/>
      <c r="H216" s="39"/>
      <c r="I216" s="644">
        <v>0.75</v>
      </c>
      <c r="J216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</v>
      </c>
      <c r="K216" s="585">
        <f>Таблица7[[#This Row],[Размер отряда минимум]]*1.25</f>
        <v>26.25</v>
      </c>
      <c r="L216" s="585">
        <f>Таблица7[[#This Row],[Размер отряда норма]]*1.5</f>
        <v>39.375</v>
      </c>
      <c r="M216" s="586">
        <f>Таблица7[[#This Row],[Размер отряда минимум]]*2.5</f>
        <v>52.5</v>
      </c>
      <c r="N216" s="586"/>
      <c r="O216" s="586"/>
      <c r="P216" s="586"/>
      <c r="Q216" s="586"/>
      <c r="R216" s="40" t="s">
        <v>13</v>
      </c>
      <c r="S216" s="960" t="s">
        <v>2885</v>
      </c>
      <c r="T216" s="39" t="s">
        <v>975</v>
      </c>
      <c r="U216" s="178" t="s">
        <v>1000</v>
      </c>
      <c r="V216" s="46"/>
      <c r="W216" s="39" t="s">
        <v>1001</v>
      </c>
      <c r="X216" s="39" t="s">
        <v>1528</v>
      </c>
      <c r="Y216" s="39"/>
      <c r="Z216" s="39" t="s">
        <v>1036</v>
      </c>
      <c r="AA216" s="39"/>
      <c r="AB216" s="39"/>
      <c r="AC216" s="39"/>
      <c r="AD216" s="178" t="s">
        <v>1211</v>
      </c>
      <c r="AE216" s="178"/>
      <c r="AF216" s="39" t="s">
        <v>1215</v>
      </c>
      <c r="AG216" s="39"/>
      <c r="AH216" s="39" t="s">
        <v>1481</v>
      </c>
      <c r="AI216" s="39"/>
      <c r="AJ216" s="178" t="s">
        <v>985</v>
      </c>
      <c r="AK216" s="178"/>
      <c r="AL216" s="199" t="s">
        <v>985</v>
      </c>
      <c r="AM216" s="45" t="s">
        <v>977</v>
      </c>
      <c r="AN216" s="45" t="s">
        <v>999</v>
      </c>
      <c r="AO216" s="45"/>
      <c r="AP216" s="39" t="s">
        <v>1077</v>
      </c>
      <c r="AQ216" s="39"/>
      <c r="AS216" s="40">
        <v>1500</v>
      </c>
      <c r="AT216" s="43">
        <v>1563</v>
      </c>
      <c r="AU216" s="405">
        <v>4</v>
      </c>
      <c r="AV216" s="405"/>
      <c r="AW216" s="405">
        <f>VLOOKUP(Таблица7[[#This Row],[Основное оружие]], Оружие[#All], 2, 0)</f>
        <v>2</v>
      </c>
      <c r="AX216" s="405">
        <f>IF(ISBLANK(Таблица7[[#This Row],[Дополнительное оружие]]),"", VLOOKUP(Таблица7[[#This Row],[Дополнительное оружие]], Оружие[#All], 2, 0))</f>
        <v>5</v>
      </c>
      <c r="AY21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1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21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16" s="405">
        <f>VLOOKUP(Таблица7[[#This Row],[Основное оружие]], Оружие[#All], 3, 0)</f>
        <v>6</v>
      </c>
      <c r="BC216" s="405">
        <f>IF(ISBLANK(Таблица7[[#This Row],[Дополнительное оружие]]),"", VLOOKUP(Таблица7[[#This Row],[Дополнительное оружие]], Оружие[#All], 3, 0))</f>
        <v>3</v>
      </c>
      <c r="BD21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1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14</v>
      </c>
      <c r="BF216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17</v>
      </c>
      <c r="BG21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1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1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16" s="405">
        <f>Таблица7[[#This Row],[Броня]]+Таблица7[[#This Row],[Щит]]+Таблица7[[#This Row],[навык защиты]]</f>
        <v>15</v>
      </c>
      <c r="BK216" s="1006"/>
      <c r="BL216" s="1006"/>
      <c r="BM216" s="375"/>
      <c r="BN216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16" s="375">
        <v>3</v>
      </c>
      <c r="BP216" s="375">
        <v>-2</v>
      </c>
      <c r="BQ216" s="375">
        <v>0</v>
      </c>
      <c r="BR216" s="375">
        <v>-4</v>
      </c>
      <c r="BS216" s="375">
        <v>-2</v>
      </c>
      <c r="BT216" s="375">
        <v>8</v>
      </c>
      <c r="BU216" s="971" t="s">
        <v>1839</v>
      </c>
      <c r="BV216" s="971" t="s">
        <v>1843</v>
      </c>
      <c r="BW216" s="375"/>
      <c r="BX216" s="375"/>
      <c r="BY216" s="375"/>
      <c r="BZ216" s="44"/>
    </row>
    <row r="217" spans="1:78" s="40" customFormat="1" ht="40.5" customHeight="1" x14ac:dyDescent="0.25">
      <c r="A217" s="333">
        <v>216</v>
      </c>
      <c r="B217" s="288" t="s">
        <v>1311</v>
      </c>
      <c r="C217" s="288"/>
      <c r="D217" s="39" t="s">
        <v>1555</v>
      </c>
      <c r="E217" s="39" t="s">
        <v>1547</v>
      </c>
      <c r="F217" s="39"/>
      <c r="G217" s="39"/>
      <c r="H217" s="39"/>
      <c r="I217" s="644">
        <v>0.5</v>
      </c>
      <c r="J217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217" s="585">
        <f>Таблица7[[#This Row],[Размер отряда минимум]]*1.25</f>
        <v>12.5</v>
      </c>
      <c r="L217" s="585">
        <f>Таблица7[[#This Row],[Размер отряда норма]]*1.5</f>
        <v>18.75</v>
      </c>
      <c r="M217" s="586">
        <f>Таблица7[[#This Row],[Размер отряда минимум]]*2.5</f>
        <v>25</v>
      </c>
      <c r="N217" s="586"/>
      <c r="O217" s="586"/>
      <c r="P217" s="586"/>
      <c r="Q217" s="586"/>
      <c r="R217" s="40" t="s">
        <v>13</v>
      </c>
      <c r="S217" s="960" t="s">
        <v>2885</v>
      </c>
      <c r="T217" s="39" t="s">
        <v>975</v>
      </c>
      <c r="U217" s="178" t="s">
        <v>1007</v>
      </c>
      <c r="V217" s="46"/>
      <c r="W217" s="39" t="s">
        <v>1001</v>
      </c>
      <c r="X217" s="39" t="s">
        <v>1528</v>
      </c>
      <c r="Y217" s="39"/>
      <c r="Z217" s="39" t="s">
        <v>1438</v>
      </c>
      <c r="AA217" s="39"/>
      <c r="AB217" s="39"/>
      <c r="AC217" s="39"/>
      <c r="AD217" s="178" t="s">
        <v>1004</v>
      </c>
      <c r="AE217" s="178"/>
      <c r="AF217" s="39" t="s">
        <v>985</v>
      </c>
      <c r="AG217" s="39"/>
      <c r="AH217" s="39" t="s">
        <v>985</v>
      </c>
      <c r="AI217" s="39"/>
      <c r="AJ217" s="178" t="s">
        <v>985</v>
      </c>
      <c r="AK217" s="178"/>
      <c r="AL217" s="199" t="s">
        <v>1163</v>
      </c>
      <c r="AM217" s="39" t="s">
        <v>935</v>
      </c>
      <c r="AN217" s="39" t="s">
        <v>952</v>
      </c>
      <c r="AO217" s="39"/>
      <c r="AP217" s="39" t="s">
        <v>1077</v>
      </c>
      <c r="AQ217" s="39"/>
      <c r="AS217" s="40">
        <v>1500</v>
      </c>
      <c r="AT217" s="43">
        <v>1563</v>
      </c>
      <c r="AU217" s="405">
        <v>10</v>
      </c>
      <c r="AV217" s="405"/>
      <c r="AW217" s="405">
        <f>VLOOKUP(Таблица7[[#This Row],[Основное оружие]], Оружие[#All], 2, 0)</f>
        <v>2</v>
      </c>
      <c r="AX217" s="405">
        <f>IF(ISBLANK(Таблица7[[#This Row],[Дополнительное оружие]]),"", VLOOKUP(Таблица7[[#This Row],[Дополнительное оружие]], Оружие[#All], 2, 0))</f>
        <v>3</v>
      </c>
      <c r="AY21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1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1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217" s="405">
        <f>VLOOKUP(Таблица7[[#This Row],[Основное оружие]], Оружие[#All], 3, 0)</f>
        <v>6</v>
      </c>
      <c r="BC217" s="405">
        <f>IF(ISBLANK(Таблица7[[#This Row],[Дополнительное оружие]]),"", VLOOKUP(Таблица7[[#This Row],[Дополнительное оружие]], Оружие[#All], 3, 0))</f>
        <v>3</v>
      </c>
      <c r="BD21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21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1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1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1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1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17" s="405">
        <f>Таблица7[[#This Row],[Броня]]+Таблица7[[#This Row],[Щит]]+Таблица7[[#This Row],[навык защиты]]</f>
        <v>29</v>
      </c>
      <c r="BK217" s="1006"/>
      <c r="BL217" s="1006"/>
      <c r="BM217" s="375"/>
      <c r="BN217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17" s="375">
        <v>3</v>
      </c>
      <c r="BP217" s="375">
        <v>-2</v>
      </c>
      <c r="BQ217" s="375">
        <v>0</v>
      </c>
      <c r="BR217" s="375">
        <v>-4</v>
      </c>
      <c r="BS217" s="375">
        <v>-2</v>
      </c>
      <c r="BT217" s="375">
        <v>11</v>
      </c>
      <c r="BU217" s="971" t="s">
        <v>1840</v>
      </c>
      <c r="BV217" s="971" t="s">
        <v>1844</v>
      </c>
      <c r="BW217" s="375"/>
      <c r="BX217" s="375"/>
      <c r="BY217" s="375"/>
      <c r="BZ217" s="44"/>
    </row>
    <row r="218" spans="1:78" s="40" customFormat="1" ht="40.5" customHeight="1" x14ac:dyDescent="0.25">
      <c r="A218" s="333">
        <v>217</v>
      </c>
      <c r="B218" s="288" t="s">
        <v>1312</v>
      </c>
      <c r="C218" s="288"/>
      <c r="D218" s="39" t="s">
        <v>1555</v>
      </c>
      <c r="E218" s="39" t="s">
        <v>1547</v>
      </c>
      <c r="F218" s="39"/>
      <c r="G218" s="39"/>
      <c r="H218" s="39"/>
      <c r="I218" s="644">
        <v>0.5</v>
      </c>
      <c r="J218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218" s="585">
        <f>Таблица7[[#This Row],[Размер отряда минимум]]*1.25</f>
        <v>15</v>
      </c>
      <c r="L218" s="585">
        <f>Таблица7[[#This Row],[Размер отряда норма]]*1.5</f>
        <v>22.5</v>
      </c>
      <c r="M218" s="586">
        <f>Таблица7[[#This Row],[Размер отряда минимум]]*2.5</f>
        <v>30</v>
      </c>
      <c r="N218" s="586"/>
      <c r="O218" s="586"/>
      <c r="P218" s="586"/>
      <c r="Q218" s="586"/>
      <c r="R218" s="40" t="s">
        <v>13</v>
      </c>
      <c r="S218" s="960" t="s">
        <v>2885</v>
      </c>
      <c r="T218" s="39" t="s">
        <v>976</v>
      </c>
      <c r="U218" s="178" t="s">
        <v>1007</v>
      </c>
      <c r="V218" s="46"/>
      <c r="W218" s="39" t="s">
        <v>1001</v>
      </c>
      <c r="X218" s="769" t="s">
        <v>1950</v>
      </c>
      <c r="Y218" s="288"/>
      <c r="Z218" s="288" t="s">
        <v>1440</v>
      </c>
      <c r="AA218" s="288"/>
      <c r="AB218" s="288"/>
      <c r="AC218" s="288"/>
      <c r="AD218" s="178" t="s">
        <v>1005</v>
      </c>
      <c r="AE218" s="178"/>
      <c r="AF218" s="39" t="s">
        <v>985</v>
      </c>
      <c r="AG218" s="39"/>
      <c r="AH218" s="39" t="s">
        <v>985</v>
      </c>
      <c r="AI218" s="39"/>
      <c r="AJ218" s="178" t="s">
        <v>985</v>
      </c>
      <c r="AK218" s="178"/>
      <c r="AL218" s="199" t="s">
        <v>985</v>
      </c>
      <c r="AM218" s="39" t="s">
        <v>935</v>
      </c>
      <c r="AN218" s="39" t="s">
        <v>952</v>
      </c>
      <c r="AO218" s="39"/>
      <c r="AP218" s="39" t="s">
        <v>1077</v>
      </c>
      <c r="AQ218" s="39"/>
      <c r="AS218" s="40">
        <v>1563</v>
      </c>
      <c r="AT218" s="43"/>
      <c r="AU218" s="405">
        <v>10</v>
      </c>
      <c r="AV218" s="405" t="s">
        <v>1828</v>
      </c>
      <c r="AW218" s="405">
        <f>VLOOKUP(Таблица7[[#This Row],[Основное оружие]], Оружие[#All], 2, 0)</f>
        <v>0</v>
      </c>
      <c r="AX218" s="405">
        <f>IF(ISBLANK(Таблица7[[#This Row],[Дополнительное оружие]]),"", VLOOKUP(Таблица7[[#This Row],[Дополнительное оружие]], Оружие[#All], 2, 0))</f>
        <v>4</v>
      </c>
      <c r="AY21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1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1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18" s="405">
        <f>VLOOKUP(Таблица7[[#This Row],[Основное оружие]], Оружие[#All], 3, 0)</f>
        <v>1</v>
      </c>
      <c r="BC218" s="405">
        <f>IF(ISBLANK(Таблица7[[#This Row],[Дополнительное оружие]]),"", VLOOKUP(Таблица7[[#This Row],[Дополнительное оружие]], Оружие[#All], 3, 0))</f>
        <v>3</v>
      </c>
      <c r="BD21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21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1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1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1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1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18" s="405">
        <f>Таблица7[[#This Row],[Броня]]+Таблица7[[#This Row],[Щит]]+Таблица7[[#This Row],[навык защиты]]</f>
        <v>28</v>
      </c>
      <c r="BK218" s="1006"/>
      <c r="BL218" s="1006"/>
      <c r="BM218" s="375"/>
      <c r="BN218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18" s="375">
        <v>3</v>
      </c>
      <c r="BP218" s="375">
        <v>-2</v>
      </c>
      <c r="BQ218" s="375">
        <v>0</v>
      </c>
      <c r="BR218" s="375">
        <v>-4</v>
      </c>
      <c r="BS218" s="375">
        <v>-2</v>
      </c>
      <c r="BT218" s="375">
        <v>11</v>
      </c>
      <c r="BU218" s="971" t="s">
        <v>1840</v>
      </c>
      <c r="BV218" s="971" t="s">
        <v>1844</v>
      </c>
      <c r="BW218" s="375"/>
      <c r="BX218" s="375"/>
      <c r="BY218" s="375"/>
      <c r="BZ218" s="44"/>
    </row>
    <row r="219" spans="1:78" s="40" customFormat="1" ht="40.5" customHeight="1" x14ac:dyDescent="0.25">
      <c r="A219" s="333">
        <v>218</v>
      </c>
      <c r="B219" s="288" t="s">
        <v>1313</v>
      </c>
      <c r="C219" s="288"/>
      <c r="D219" s="39" t="s">
        <v>1556</v>
      </c>
      <c r="E219" s="39" t="s">
        <v>1570</v>
      </c>
      <c r="F219" s="39"/>
      <c r="G219" s="39"/>
      <c r="H219" s="39"/>
      <c r="I219" s="644">
        <v>0.75</v>
      </c>
      <c r="J219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19" s="585">
        <f>Таблица7[[#This Row],[Размер отряда минимум]]*1.25</f>
        <v>93.75</v>
      </c>
      <c r="L219" s="585">
        <f>Таблица7[[#This Row],[Размер отряда норма]]*1.5</f>
        <v>140.625</v>
      </c>
      <c r="M219" s="586">
        <f>Таблица7[[#This Row],[Размер отряда минимум]]*2.5</f>
        <v>187.5</v>
      </c>
      <c r="N219" s="586"/>
      <c r="O219" s="586"/>
      <c r="P219" s="586"/>
      <c r="Q219" s="586"/>
      <c r="R219" s="40" t="s">
        <v>13</v>
      </c>
      <c r="S219" s="960" t="s">
        <v>2885</v>
      </c>
      <c r="T219" s="39" t="s">
        <v>976</v>
      </c>
      <c r="U219" s="178" t="s">
        <v>1051</v>
      </c>
      <c r="V219" s="46"/>
      <c r="W219" s="39" t="s">
        <v>1001</v>
      </c>
      <c r="X219" s="39" t="s">
        <v>1469</v>
      </c>
      <c r="Y219" s="39"/>
      <c r="Z219" s="39" t="s">
        <v>1440</v>
      </c>
      <c r="AA219" s="39"/>
      <c r="AB219" s="39"/>
      <c r="AC219" s="39"/>
      <c r="AD219" s="178" t="s">
        <v>985</v>
      </c>
      <c r="AE219" s="178"/>
      <c r="AF219" s="39" t="s">
        <v>991</v>
      </c>
      <c r="AG219" s="39"/>
      <c r="AH219" s="39" t="s">
        <v>985</v>
      </c>
      <c r="AI219" s="39"/>
      <c r="AJ219" s="178" t="s">
        <v>985</v>
      </c>
      <c r="AK219" s="178"/>
      <c r="AL219" s="199" t="s">
        <v>985</v>
      </c>
      <c r="AM219" s="39" t="s">
        <v>978</v>
      </c>
      <c r="AN219" s="40" t="s">
        <v>1006</v>
      </c>
      <c r="AP219" s="39" t="s">
        <v>1077</v>
      </c>
      <c r="AQ219" s="39"/>
      <c r="AS219" s="40">
        <v>1563</v>
      </c>
      <c r="AT219" s="43"/>
      <c r="AU219" s="405">
        <v>3</v>
      </c>
      <c r="AV219" s="405" t="s">
        <v>1828</v>
      </c>
      <c r="AW219" s="405">
        <f>VLOOKUP(Таблица7[[#This Row],[Основное оружие]], Оружие[#All], 2, 0)</f>
        <v>0</v>
      </c>
      <c r="AX219" s="405">
        <f>IF(ISBLANK(Таблица7[[#This Row],[Дополнительное оружие]]),"", VLOOKUP(Таблица7[[#This Row],[Дополнительное оружие]], Оружие[#All], 2, 0))</f>
        <v>4</v>
      </c>
      <c r="AY21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1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1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19" s="405">
        <f>VLOOKUP(Таблица7[[#This Row],[Основное оружие]], Оружие[#All], 3, 0)</f>
        <v>1</v>
      </c>
      <c r="BC219" s="405">
        <f>IF(ISBLANK(Таблица7[[#This Row],[Дополнительное оружие]]),"", VLOOKUP(Таблица7[[#This Row],[Дополнительное оружие]], Оружие[#All], 3, 0))</f>
        <v>3</v>
      </c>
      <c r="BD21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1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1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1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1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1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19" s="405">
        <f>Таблица7[[#This Row],[Броня]]+Таблица7[[#This Row],[Щит]]+Таблица7[[#This Row],[навык защиты]]</f>
        <v>5</v>
      </c>
      <c r="BK219" s="1006"/>
      <c r="BL219" s="1006"/>
      <c r="BM219" s="375"/>
      <c r="BN219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19" s="375">
        <v>3</v>
      </c>
      <c r="BP219" s="375">
        <v>1</v>
      </c>
      <c r="BQ219" s="375">
        <v>-2</v>
      </c>
      <c r="BR219" s="375">
        <v>2</v>
      </c>
      <c r="BS219" s="375">
        <v>2</v>
      </c>
      <c r="BT219" s="375">
        <v>6</v>
      </c>
      <c r="BU219" s="971" t="s">
        <v>1839</v>
      </c>
      <c r="BV219" s="971" t="s">
        <v>1843</v>
      </c>
      <c r="BW219" s="375"/>
      <c r="BX219" s="375"/>
      <c r="BY219" s="375"/>
      <c r="BZ219" s="44"/>
    </row>
    <row r="220" spans="1:78" s="40" customFormat="1" ht="40.5" customHeight="1" x14ac:dyDescent="0.25">
      <c r="A220" s="333">
        <v>219</v>
      </c>
      <c r="B220" s="288" t="s">
        <v>1314</v>
      </c>
      <c r="C220" s="288"/>
      <c r="D220" s="39" t="s">
        <v>1556</v>
      </c>
      <c r="E220" s="39" t="s">
        <v>1570</v>
      </c>
      <c r="F220" s="39"/>
      <c r="G220" s="39"/>
      <c r="H220" s="39"/>
      <c r="I220" s="644">
        <v>0.5</v>
      </c>
      <c r="J220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220" s="585">
        <f>Таблица7[[#This Row],[Размер отряда минимум]]*1.25</f>
        <v>62.5</v>
      </c>
      <c r="L220" s="585">
        <f>Таблица7[[#This Row],[Размер отряда норма]]*1.5</f>
        <v>93.75</v>
      </c>
      <c r="M220" s="586">
        <f>Таблица7[[#This Row],[Размер отряда минимум]]*2.5</f>
        <v>125</v>
      </c>
      <c r="N220" s="586"/>
      <c r="O220" s="586"/>
      <c r="P220" s="586"/>
      <c r="Q220" s="586"/>
      <c r="R220" s="40" t="s">
        <v>13</v>
      </c>
      <c r="S220" s="960" t="s">
        <v>2885</v>
      </c>
      <c r="T220" s="39" t="s">
        <v>976</v>
      </c>
      <c r="U220" s="178" t="s">
        <v>1085</v>
      </c>
      <c r="V220" s="46"/>
      <c r="W220" s="39" t="s">
        <v>1001</v>
      </c>
      <c r="X220" s="39" t="s">
        <v>1696</v>
      </c>
      <c r="Y220" s="39"/>
      <c r="Z220" s="39" t="s">
        <v>1440</v>
      </c>
      <c r="AA220" s="39"/>
      <c r="AB220" s="39"/>
      <c r="AC220" s="39"/>
      <c r="AD220" s="178" t="s">
        <v>985</v>
      </c>
      <c r="AE220" s="178"/>
      <c r="AF220" s="39" t="s">
        <v>991</v>
      </c>
      <c r="AG220" s="39"/>
      <c r="AH220" s="39" t="s">
        <v>985</v>
      </c>
      <c r="AI220" s="39"/>
      <c r="AJ220" s="178" t="s">
        <v>985</v>
      </c>
      <c r="AK220" s="178"/>
      <c r="AL220" s="199" t="s">
        <v>985</v>
      </c>
      <c r="AM220" s="39" t="s">
        <v>977</v>
      </c>
      <c r="AN220" s="39" t="s">
        <v>1031</v>
      </c>
      <c r="AO220" s="39"/>
      <c r="AP220" s="90" t="s">
        <v>1134</v>
      </c>
      <c r="AQ220" s="90"/>
      <c r="AS220" s="40">
        <v>1570</v>
      </c>
      <c r="AT220" s="43"/>
      <c r="AU220" s="405">
        <v>3</v>
      </c>
      <c r="AV220" s="405" t="s">
        <v>1826</v>
      </c>
      <c r="AW220" s="405">
        <f>VLOOKUP(Таблица7[[#This Row],[Основное оружие]], Оружие[#All], 2, 0)</f>
        <v>0</v>
      </c>
      <c r="AX220" s="405">
        <f>IF(ISBLANK(Таблица7[[#This Row],[Дополнительное оружие]]),"", VLOOKUP(Таблица7[[#This Row],[Дополнительное оружие]], Оружие[#All], 2, 0))</f>
        <v>4</v>
      </c>
      <c r="AY22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2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2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20" s="405">
        <f>VLOOKUP(Таблица7[[#This Row],[Основное оружие]], Оружие[#All], 3, 0)</f>
        <v>1</v>
      </c>
      <c r="BC220" s="405">
        <f>IF(ISBLANK(Таблица7[[#This Row],[Дополнительное оружие]]),"", VLOOKUP(Таблица7[[#This Row],[Дополнительное оружие]], Оружие[#All], 3, 0))</f>
        <v>3</v>
      </c>
      <c r="BD22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2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2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2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2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2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20" s="405">
        <f>Таблица7[[#This Row],[Броня]]+Таблица7[[#This Row],[Щит]]+Таблица7[[#This Row],[навык защиты]]</f>
        <v>5</v>
      </c>
      <c r="BK220" s="1006"/>
      <c r="BL220" s="1006"/>
      <c r="BM220" s="375"/>
      <c r="BN220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20" s="375">
        <v>3</v>
      </c>
      <c r="BP220" s="375">
        <v>1</v>
      </c>
      <c r="BQ220" s="375">
        <v>-2</v>
      </c>
      <c r="BR220" s="375">
        <v>2</v>
      </c>
      <c r="BS220" s="375">
        <v>2</v>
      </c>
      <c r="BT220" s="375">
        <v>6</v>
      </c>
      <c r="BU220" s="971" t="s">
        <v>1839</v>
      </c>
      <c r="BV220" s="971" t="s">
        <v>1843</v>
      </c>
      <c r="BW220" s="375"/>
      <c r="BX220" s="375"/>
      <c r="BY220" s="375"/>
      <c r="BZ220" s="44"/>
    </row>
    <row r="221" spans="1:78" s="40" customFormat="1" ht="40.5" customHeight="1" x14ac:dyDescent="0.25">
      <c r="A221" s="333">
        <v>220</v>
      </c>
      <c r="B221" s="518" t="s">
        <v>1622</v>
      </c>
      <c r="C221" s="518"/>
      <c r="D221" s="39" t="s">
        <v>1555</v>
      </c>
      <c r="E221" s="39" t="s">
        <v>1547</v>
      </c>
      <c r="F221" s="39"/>
      <c r="G221" s="39"/>
      <c r="H221" s="39"/>
      <c r="I221" s="644">
        <v>0.75</v>
      </c>
      <c r="J221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221" s="585">
        <f>Таблица7[[#This Row],[Размер отряда минимум]]*1.25</f>
        <v>22.5</v>
      </c>
      <c r="L221" s="585">
        <f>Таблица7[[#This Row],[Размер отряда норма]]*1.5</f>
        <v>33.75</v>
      </c>
      <c r="M221" s="586">
        <f>Таблица7[[#This Row],[Размер отряда минимум]]*2.5</f>
        <v>45</v>
      </c>
      <c r="N221" s="586"/>
      <c r="O221" s="586"/>
      <c r="P221" s="586"/>
      <c r="Q221" s="586"/>
      <c r="R221" s="40" t="s">
        <v>13</v>
      </c>
      <c r="S221" s="960" t="s">
        <v>2885</v>
      </c>
      <c r="T221" s="39" t="s">
        <v>976</v>
      </c>
      <c r="U221" s="178" t="s">
        <v>1082</v>
      </c>
      <c r="V221" s="46"/>
      <c r="W221" s="178" t="s">
        <v>1001</v>
      </c>
      <c r="X221" s="39" t="s">
        <v>1528</v>
      </c>
      <c r="Y221" s="39"/>
      <c r="Z221" s="39" t="s">
        <v>1440</v>
      </c>
      <c r="AA221" s="39"/>
      <c r="AB221" s="39"/>
      <c r="AC221" s="39"/>
      <c r="AD221" s="178" t="s">
        <v>1481</v>
      </c>
      <c r="AE221" s="178"/>
      <c r="AF221" s="90" t="s">
        <v>985</v>
      </c>
      <c r="AG221" s="90"/>
      <c r="AH221" s="90" t="s">
        <v>985</v>
      </c>
      <c r="AI221" s="90"/>
      <c r="AJ221" s="39" t="s">
        <v>1005</v>
      </c>
      <c r="AK221" s="39"/>
      <c r="AL221" s="199" t="s">
        <v>985</v>
      </c>
      <c r="AM221" s="925" t="s">
        <v>935</v>
      </c>
      <c r="AN221" s="45" t="s">
        <v>1118</v>
      </c>
      <c r="AO221" s="45"/>
      <c r="AP221" s="39" t="s">
        <v>1080</v>
      </c>
      <c r="AQ221" s="39"/>
      <c r="AS221" s="40">
        <v>1563</v>
      </c>
      <c r="AT221" s="43"/>
      <c r="AU221" s="405">
        <v>4</v>
      </c>
      <c r="AV221" s="405"/>
      <c r="AW221" s="405">
        <f>VLOOKUP(Таблица7[[#This Row],[Основное оружие]], Оружие[#All], 2, 0)</f>
        <v>2</v>
      </c>
      <c r="AX221" s="405">
        <f>IF(ISBLANK(Таблица7[[#This Row],[Дополнительное оружие]]),"", VLOOKUP(Таблица7[[#This Row],[Дополнительное оружие]], Оружие[#All], 2, 0))</f>
        <v>4</v>
      </c>
      <c r="AY22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2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22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221" s="405">
        <f>VLOOKUP(Таблица7[[#This Row],[Основное оружие]], Оружие[#All], 3, 0)</f>
        <v>6</v>
      </c>
      <c r="BC221" s="405">
        <f>IF(ISBLANK(Таблица7[[#This Row],[Дополнительное оружие]]),"", VLOOKUP(Таблица7[[#This Row],[Дополнительное оружие]], Оружие[#All], 3, 0))</f>
        <v>3</v>
      </c>
      <c r="BD22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22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2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2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22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22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21" s="405">
        <f>Таблица7[[#This Row],[Броня]]+Таблица7[[#This Row],[Щит]]+Таблица7[[#This Row],[навык защиты]]</f>
        <v>18</v>
      </c>
      <c r="BK221" s="1006"/>
      <c r="BL221" s="1006"/>
      <c r="BM221" s="375"/>
      <c r="BN221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21" s="375">
        <v>3</v>
      </c>
      <c r="BP221" s="375">
        <v>-2</v>
      </c>
      <c r="BQ221" s="375">
        <v>0</v>
      </c>
      <c r="BR221" s="375">
        <v>-4</v>
      </c>
      <c r="BS221" s="375">
        <v>-2</v>
      </c>
      <c r="BT221" s="375">
        <v>7</v>
      </c>
      <c r="BU221" s="971" t="s">
        <v>1576</v>
      </c>
      <c r="BV221" s="971" t="s">
        <v>1843</v>
      </c>
      <c r="BW221" s="375"/>
      <c r="BX221" s="375"/>
      <c r="BY221" s="375"/>
      <c r="BZ221" s="44"/>
    </row>
    <row r="222" spans="1:78" s="40" customFormat="1" ht="40.5" customHeight="1" x14ac:dyDescent="0.25">
      <c r="A222" s="333">
        <v>221</v>
      </c>
      <c r="B222" s="288" t="s">
        <v>1315</v>
      </c>
      <c r="C222" s="288"/>
      <c r="D222" s="39" t="s">
        <v>1555</v>
      </c>
      <c r="E222" s="39" t="s">
        <v>1572</v>
      </c>
      <c r="F222" s="39"/>
      <c r="G222" s="39"/>
      <c r="H222" s="39"/>
      <c r="I222" s="644">
        <v>0.75</v>
      </c>
      <c r="J222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222" s="585">
        <f>Таблица7[[#This Row],[Размер отряда минимум]]*1.25</f>
        <v>22.5</v>
      </c>
      <c r="L222" s="585">
        <f>Таблица7[[#This Row],[Размер отряда норма]]*1.5</f>
        <v>33.75</v>
      </c>
      <c r="M222" s="586">
        <f>Таблица7[[#This Row],[Размер отряда минимум]]*2.5</f>
        <v>45</v>
      </c>
      <c r="N222" s="586"/>
      <c r="O222" s="586"/>
      <c r="P222" s="586"/>
      <c r="Q222" s="586"/>
      <c r="R222" s="40" t="s">
        <v>13</v>
      </c>
      <c r="S222" s="960" t="s">
        <v>2885</v>
      </c>
      <c r="T222" s="39" t="s">
        <v>976</v>
      </c>
      <c r="U222" s="178" t="s">
        <v>1086</v>
      </c>
      <c r="V222" s="46"/>
      <c r="W222" s="178" t="s">
        <v>1001</v>
      </c>
      <c r="X222" s="39" t="s">
        <v>1468</v>
      </c>
      <c r="Y222" s="39"/>
      <c r="Z222" s="39" t="s">
        <v>1440</v>
      </c>
      <c r="AA222" s="39"/>
      <c r="AB222" s="39"/>
      <c r="AC222" s="39"/>
      <c r="AD222" s="178" t="s">
        <v>1481</v>
      </c>
      <c r="AE222" s="178"/>
      <c r="AF222" s="90" t="s">
        <v>985</v>
      </c>
      <c r="AG222" s="90"/>
      <c r="AH222" s="90" t="s">
        <v>985</v>
      </c>
      <c r="AI222" s="90"/>
      <c r="AJ222" s="39" t="s">
        <v>1005</v>
      </c>
      <c r="AK222" s="39"/>
      <c r="AL222" s="199" t="s">
        <v>985</v>
      </c>
      <c r="AM222" s="925" t="s">
        <v>935</v>
      </c>
      <c r="AN222" s="45" t="s">
        <v>1118</v>
      </c>
      <c r="AO222" s="45"/>
      <c r="AP222" s="39" t="s">
        <v>1080</v>
      </c>
      <c r="AQ222" s="39"/>
      <c r="AS222" s="40">
        <v>1563</v>
      </c>
      <c r="AT222" s="43"/>
      <c r="AU222" s="405">
        <v>4</v>
      </c>
      <c r="AV222" s="405" t="s">
        <v>1827</v>
      </c>
      <c r="AW222" s="405">
        <f>VLOOKUP(Таблица7[[#This Row],[Основное оружие]], Оружие[#All], 2, 0)</f>
        <v>0</v>
      </c>
      <c r="AX222" s="405">
        <f>IF(ISBLANK(Таблица7[[#This Row],[Дополнительное оружие]]),"", VLOOKUP(Таблица7[[#This Row],[Дополнительное оружие]], Оружие[#All], 2, 0))</f>
        <v>4</v>
      </c>
      <c r="AY22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2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2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222" s="405">
        <f>VLOOKUP(Таблица7[[#This Row],[Основное оружие]], Оружие[#All], 3, 0)</f>
        <v>1</v>
      </c>
      <c r="BC222" s="405">
        <f>IF(ISBLANK(Таблица7[[#This Row],[Дополнительное оружие]]),"", VLOOKUP(Таблица7[[#This Row],[Дополнительное оружие]], Оружие[#All], 3, 0))</f>
        <v>3</v>
      </c>
      <c r="BD22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22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2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2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22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22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22" s="405">
        <f>Таблица7[[#This Row],[Броня]]+Таблица7[[#This Row],[Щит]]+Таблица7[[#This Row],[навык защиты]]</f>
        <v>18</v>
      </c>
      <c r="BK222" s="1006"/>
      <c r="BL222" s="1006"/>
      <c r="BM222" s="375"/>
      <c r="BN222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22" s="375">
        <v>3</v>
      </c>
      <c r="BP222" s="375">
        <v>-2</v>
      </c>
      <c r="BQ222" s="375">
        <v>0</v>
      </c>
      <c r="BR222" s="375">
        <v>-4</v>
      </c>
      <c r="BS222" s="375">
        <v>-2</v>
      </c>
      <c r="BT222" s="375">
        <v>7</v>
      </c>
      <c r="BU222" s="971" t="s">
        <v>1576</v>
      </c>
      <c r="BV222" s="971" t="s">
        <v>1843</v>
      </c>
      <c r="BW222" s="375"/>
      <c r="BX222" s="375"/>
      <c r="BY222" s="375"/>
      <c r="BZ222" s="44"/>
    </row>
    <row r="223" spans="1:78" s="40" customFormat="1" ht="40.5" customHeight="1" x14ac:dyDescent="0.25">
      <c r="A223" s="333">
        <v>222</v>
      </c>
      <c r="B223" s="288" t="s">
        <v>1316</v>
      </c>
      <c r="C223" s="288"/>
      <c r="D223" s="39" t="s">
        <v>1555</v>
      </c>
      <c r="E223" s="39" t="s">
        <v>1546</v>
      </c>
      <c r="F223" s="39"/>
      <c r="G223" s="39"/>
      <c r="H223" s="39"/>
      <c r="I223" s="644">
        <v>0.75</v>
      </c>
      <c r="J223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223" s="585">
        <f>Таблица7[[#This Row],[Размер отряда минимум]]*1.25</f>
        <v>37.5</v>
      </c>
      <c r="L223" s="585">
        <f>Таблица7[[#This Row],[Размер отряда норма]]*1.5</f>
        <v>56.25</v>
      </c>
      <c r="M223" s="586">
        <f>Таблица7[[#This Row],[Размер отряда минимум]]*2.5</f>
        <v>75</v>
      </c>
      <c r="N223" s="586"/>
      <c r="O223" s="586"/>
      <c r="P223" s="586"/>
      <c r="Q223" s="586"/>
      <c r="R223" s="40" t="s">
        <v>13</v>
      </c>
      <c r="S223" s="960" t="s">
        <v>2885</v>
      </c>
      <c r="T223" s="39" t="s">
        <v>976</v>
      </c>
      <c r="U223" s="178" t="s">
        <v>1088</v>
      </c>
      <c r="V223" s="46"/>
      <c r="W223" s="39" t="s">
        <v>1001</v>
      </c>
      <c r="X223" s="39" t="s">
        <v>1528</v>
      </c>
      <c r="Y223" s="39"/>
      <c r="Z223" s="39" t="s">
        <v>1440</v>
      </c>
      <c r="AA223" s="39"/>
      <c r="AB223" s="39"/>
      <c r="AC223" s="39"/>
      <c r="AD223" s="178" t="s">
        <v>985</v>
      </c>
      <c r="AE223" s="178"/>
      <c r="AF223" s="39" t="s">
        <v>991</v>
      </c>
      <c r="AG223" s="39"/>
      <c r="AH223" s="39" t="s">
        <v>985</v>
      </c>
      <c r="AI223" s="39"/>
      <c r="AJ223" s="178" t="s">
        <v>985</v>
      </c>
      <c r="AK223" s="178"/>
      <c r="AL223" s="199" t="s">
        <v>985</v>
      </c>
      <c r="AM223" s="39" t="s">
        <v>977</v>
      </c>
      <c r="AN223" s="39" t="s">
        <v>992</v>
      </c>
      <c r="AO223" s="39"/>
      <c r="AP223" s="39" t="s">
        <v>1077</v>
      </c>
      <c r="AQ223" s="39"/>
      <c r="AS223" s="40">
        <v>1563</v>
      </c>
      <c r="AT223" s="43"/>
      <c r="AU223" s="405">
        <v>3</v>
      </c>
      <c r="AV223" s="405"/>
      <c r="AW223" s="405">
        <f>VLOOKUP(Таблица7[[#This Row],[Основное оружие]], Оружие[#All], 2, 0)</f>
        <v>2</v>
      </c>
      <c r="AX223" s="405">
        <f>IF(ISBLANK(Таблица7[[#This Row],[Дополнительное оружие]]),"", VLOOKUP(Таблица7[[#This Row],[Дополнительное оружие]], Оружие[#All], 2, 0))</f>
        <v>4</v>
      </c>
      <c r="AY22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2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22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23" s="405">
        <f>VLOOKUP(Таблица7[[#This Row],[Основное оружие]], Оружие[#All], 3, 0)</f>
        <v>6</v>
      </c>
      <c r="BC223" s="405">
        <f>IF(ISBLANK(Таблица7[[#This Row],[Дополнительное оружие]]),"", VLOOKUP(Таблица7[[#This Row],[Дополнительное оружие]], Оружие[#All], 3, 0))</f>
        <v>3</v>
      </c>
      <c r="BD22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2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22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2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2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2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23" s="405">
        <f>Таблица7[[#This Row],[Броня]]+Таблица7[[#This Row],[Щит]]+Таблица7[[#This Row],[навык защиты]]</f>
        <v>3</v>
      </c>
      <c r="BK223" s="1008" t="s">
        <v>1589</v>
      </c>
      <c r="BL223" s="1008"/>
      <c r="BM223" s="375"/>
      <c r="BN223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23" s="375">
        <v>3</v>
      </c>
      <c r="BP223" s="375">
        <v>-2</v>
      </c>
      <c r="BQ223" s="375">
        <v>0</v>
      </c>
      <c r="BR223" s="375">
        <v>-4</v>
      </c>
      <c r="BS223" s="375">
        <v>-2</v>
      </c>
      <c r="BT223" s="375">
        <v>7</v>
      </c>
      <c r="BU223" s="971" t="s">
        <v>1576</v>
      </c>
      <c r="BV223" s="971" t="s">
        <v>1843</v>
      </c>
      <c r="BW223" s="375"/>
      <c r="BX223" s="375"/>
      <c r="BY223" s="375"/>
      <c r="BZ223" s="44"/>
    </row>
    <row r="224" spans="1:78" s="40" customFormat="1" ht="40.5" customHeight="1" x14ac:dyDescent="0.25">
      <c r="A224" s="333">
        <v>223</v>
      </c>
      <c r="B224" s="288" t="s">
        <v>1317</v>
      </c>
      <c r="C224" s="288"/>
      <c r="D224" s="39" t="s">
        <v>1556</v>
      </c>
      <c r="E224" s="39" t="s">
        <v>1546</v>
      </c>
      <c r="F224" s="39"/>
      <c r="G224" s="39"/>
      <c r="H224" s="39"/>
      <c r="I224" s="644">
        <v>0.75</v>
      </c>
      <c r="J224" s="58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24" s="585">
        <f>Таблица7[[#This Row],[Размер отряда минимум]]*1.25</f>
        <v>93.75</v>
      </c>
      <c r="L224" s="585">
        <f>Таблица7[[#This Row],[Размер отряда норма]]*1.5</f>
        <v>140.625</v>
      </c>
      <c r="M224" s="586">
        <f>Таблица7[[#This Row],[Размер отряда минимум]]*2.5</f>
        <v>187.5</v>
      </c>
      <c r="N224" s="586"/>
      <c r="O224" s="586"/>
      <c r="P224" s="586"/>
      <c r="Q224" s="586"/>
      <c r="R224" s="40" t="s">
        <v>13</v>
      </c>
      <c r="S224" s="960" t="s">
        <v>2885</v>
      </c>
      <c r="T224" s="39" t="s">
        <v>976</v>
      </c>
      <c r="U224" s="178" t="s">
        <v>1524</v>
      </c>
      <c r="V224" s="46"/>
      <c r="W224" s="39" t="s">
        <v>984</v>
      </c>
      <c r="X224" s="39" t="s">
        <v>1440</v>
      </c>
      <c r="Y224" s="39"/>
      <c r="Z224" s="39"/>
      <c r="AA224" s="39"/>
      <c r="AB224" s="39" t="s">
        <v>944</v>
      </c>
      <c r="AC224" s="39"/>
      <c r="AD224" s="178" t="s">
        <v>985</v>
      </c>
      <c r="AE224" s="178"/>
      <c r="AF224" s="39" t="s">
        <v>991</v>
      </c>
      <c r="AG224" s="39"/>
      <c r="AH224" s="39" t="s">
        <v>985</v>
      </c>
      <c r="AI224" s="39"/>
      <c r="AJ224" s="178" t="s">
        <v>985</v>
      </c>
      <c r="AK224" s="178"/>
      <c r="AL224" s="199" t="s">
        <v>985</v>
      </c>
      <c r="AM224" s="90" t="s">
        <v>977</v>
      </c>
      <c r="AN224" s="39" t="s">
        <v>992</v>
      </c>
      <c r="AO224" s="39"/>
      <c r="AP224" s="39" t="s">
        <v>1077</v>
      </c>
      <c r="AQ224" s="39"/>
      <c r="AS224" s="40">
        <v>1563</v>
      </c>
      <c r="AT224" s="43"/>
      <c r="AU224" s="405">
        <v>4</v>
      </c>
      <c r="AV224" s="405"/>
      <c r="AW224" s="405">
        <f>VLOOKUP(Таблица7[[#This Row],[Основное оружие]], Оружие[#All], 2, 0)</f>
        <v>4</v>
      </c>
      <c r="AX224" s="405" t="str">
        <f>IF(ISBLANK(Таблица7[[#This Row],[Дополнительное оружие]]),"", VLOOKUP(Таблица7[[#This Row],[Дополнительное оружие]], Оружие[#All], 2, 0))</f>
        <v/>
      </c>
      <c r="AY22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2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22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24" s="405">
        <f>VLOOKUP(Таблица7[[#This Row],[Основное оружие]], Оружие[#All], 3, 0)</f>
        <v>3</v>
      </c>
      <c r="BC224" s="405" t="str">
        <f>IF(ISBLANK(Таблица7[[#This Row],[Дополнительное оружие]]),"", VLOOKUP(Таблица7[[#This Row],[Дополнительное оружие]], Оружие[#All], 3, 0))</f>
        <v/>
      </c>
      <c r="BD22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2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2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2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2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2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224" s="405">
        <f>Таблица7[[#This Row],[Броня]]+Таблица7[[#This Row],[Щит]]+Таблица7[[#This Row],[навык защиты]]</f>
        <v>11</v>
      </c>
      <c r="BK224" s="1006"/>
      <c r="BL224" s="1006"/>
      <c r="BM224" s="375"/>
      <c r="BN224" s="97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24" s="375">
        <v>3</v>
      </c>
      <c r="BP224" s="375">
        <v>1</v>
      </c>
      <c r="BQ224" s="375">
        <v>-2</v>
      </c>
      <c r="BR224" s="375">
        <v>2</v>
      </c>
      <c r="BS224" s="375">
        <v>2</v>
      </c>
      <c r="BT224" s="375">
        <v>7</v>
      </c>
      <c r="BU224" s="971" t="s">
        <v>1576</v>
      </c>
      <c r="BV224" s="971" t="s">
        <v>1843</v>
      </c>
      <c r="BW224" s="375"/>
      <c r="BX224" s="375"/>
      <c r="BY224" s="375"/>
      <c r="BZ224" s="44"/>
    </row>
    <row r="225" spans="1:78" s="92" customFormat="1" ht="40.5" customHeight="1" x14ac:dyDescent="0.25">
      <c r="A225" s="333">
        <v>224</v>
      </c>
      <c r="B225" s="298" t="s">
        <v>1318</v>
      </c>
      <c r="C225" s="298"/>
      <c r="D225" s="91" t="s">
        <v>1556</v>
      </c>
      <c r="E225" s="91" t="s">
        <v>1546</v>
      </c>
      <c r="F225" s="91"/>
      <c r="G225" s="91"/>
      <c r="H225" s="91"/>
      <c r="I225" s="654">
        <v>1</v>
      </c>
      <c r="J225" s="60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25" s="607">
        <f>Таблица7[[#This Row],[Размер отряда минимум]]*1.25</f>
        <v>112.5</v>
      </c>
      <c r="L225" s="607">
        <f>Таблица7[[#This Row],[Размер отряда норма]]*1.5</f>
        <v>168.75</v>
      </c>
      <c r="M225" s="608">
        <f>Таблица7[[#This Row],[Размер отряда минимум]]*2.5</f>
        <v>225</v>
      </c>
      <c r="N225" s="608"/>
      <c r="O225" s="608"/>
      <c r="P225" s="608"/>
      <c r="Q225" s="608"/>
      <c r="R225" s="92" t="s">
        <v>14</v>
      </c>
      <c r="S225" s="961" t="s">
        <v>2886</v>
      </c>
      <c r="T225" s="91" t="s">
        <v>975</v>
      </c>
      <c r="U225" s="180" t="s">
        <v>1089</v>
      </c>
      <c r="V225" s="93"/>
      <c r="W225" s="91" t="s">
        <v>984</v>
      </c>
      <c r="X225" s="91" t="s">
        <v>1090</v>
      </c>
      <c r="Y225" s="91"/>
      <c r="Z225" s="91"/>
      <c r="AA225" s="91"/>
      <c r="AB225" s="91"/>
      <c r="AC225" s="91"/>
      <c r="AD225" s="180" t="s">
        <v>985</v>
      </c>
      <c r="AE225" s="180"/>
      <c r="AF225" s="91" t="s">
        <v>985</v>
      </c>
      <c r="AG225" s="91"/>
      <c r="AH225" s="91" t="s">
        <v>985</v>
      </c>
      <c r="AI225" s="91"/>
      <c r="AJ225" s="180" t="s">
        <v>985</v>
      </c>
      <c r="AK225" s="180"/>
      <c r="AL225" s="216" t="s">
        <v>985</v>
      </c>
      <c r="AM225" s="91" t="s">
        <v>935</v>
      </c>
      <c r="AN225" s="91" t="s">
        <v>955</v>
      </c>
      <c r="AO225" s="91"/>
      <c r="AP225" s="91" t="s">
        <v>1091</v>
      </c>
      <c r="AQ225" s="91"/>
      <c r="AS225" s="92">
        <v>1500</v>
      </c>
      <c r="AT225" s="94">
        <v>1550</v>
      </c>
      <c r="AU225" s="405">
        <v>1</v>
      </c>
      <c r="AV225" s="405"/>
      <c r="AW225" s="405">
        <f>VLOOKUP(Таблица7[[#This Row],[Основное оружие]], Оружие[#All], 2, 0)</f>
        <v>1</v>
      </c>
      <c r="AX225" s="405" t="str">
        <f>IF(ISBLANK(Таблица7[[#This Row],[Дополнительное оружие]]),"", VLOOKUP(Таблица7[[#This Row],[Дополнительное оружие]], Оружие[#All], 2, 0))</f>
        <v/>
      </c>
      <c r="AY22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2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22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25" s="405">
        <f>VLOOKUP(Таблица7[[#This Row],[Основное оружие]], Оружие[#All], 3, 0)</f>
        <v>1</v>
      </c>
      <c r="BC225" s="405" t="str">
        <f>IF(ISBLANK(Таблица7[[#This Row],[Дополнительное оружие]]),"", VLOOKUP(Таблица7[[#This Row],[Дополнительное оружие]], Оружие[#All], 3, 0))</f>
        <v/>
      </c>
      <c r="BD22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2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2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2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2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2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25" s="405">
        <f>Таблица7[[#This Row],[Броня]]+Таблица7[[#This Row],[Щит]]+Таблица7[[#This Row],[навык защиты]]</f>
        <v>3</v>
      </c>
      <c r="BK225" s="1006"/>
      <c r="BL225" s="1006"/>
      <c r="BM225" s="386"/>
      <c r="BN225" s="98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25" s="386">
        <v>3</v>
      </c>
      <c r="BP225" s="386">
        <v>0</v>
      </c>
      <c r="BQ225" s="386">
        <v>-2</v>
      </c>
      <c r="BR225" s="386">
        <v>0</v>
      </c>
      <c r="BS225" s="386">
        <v>2</v>
      </c>
      <c r="BT225" s="386">
        <v>2</v>
      </c>
      <c r="BU225" s="983" t="s">
        <v>1839</v>
      </c>
      <c r="BV225" s="983" t="s">
        <v>1842</v>
      </c>
      <c r="BW225" s="386"/>
      <c r="BX225" s="386"/>
      <c r="BY225" s="386"/>
      <c r="BZ225" s="95"/>
    </row>
    <row r="226" spans="1:78" s="92" customFormat="1" ht="40.5" customHeight="1" x14ac:dyDescent="0.25">
      <c r="A226" s="333">
        <v>225</v>
      </c>
      <c r="B226" s="298" t="s">
        <v>1319</v>
      </c>
      <c r="C226" s="298"/>
      <c r="D226" s="91" t="s">
        <v>1556</v>
      </c>
      <c r="E226" s="91" t="s">
        <v>1547</v>
      </c>
      <c r="F226" s="91"/>
      <c r="G226" s="91"/>
      <c r="H226" s="91"/>
      <c r="I226" s="654">
        <v>0.3</v>
      </c>
      <c r="J226" s="60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226" s="607">
        <f>Таблица7[[#This Row],[Размер отряда минимум]]*1.25</f>
        <v>30</v>
      </c>
      <c r="L226" s="607">
        <f>Таблица7[[#This Row],[Размер отряда норма]]*1.5</f>
        <v>45</v>
      </c>
      <c r="M226" s="608">
        <f>Таблица7[[#This Row],[Размер отряда минимум]]*2.5</f>
        <v>60</v>
      </c>
      <c r="N226" s="608"/>
      <c r="O226" s="608"/>
      <c r="P226" s="608"/>
      <c r="Q226" s="608"/>
      <c r="R226" s="92" t="s">
        <v>14</v>
      </c>
      <c r="S226" s="961" t="s">
        <v>2886</v>
      </c>
      <c r="T226" s="91" t="s">
        <v>975</v>
      </c>
      <c r="U226" s="180" t="s">
        <v>1039</v>
      </c>
      <c r="V226" s="93"/>
      <c r="W226" s="91" t="s">
        <v>1001</v>
      </c>
      <c r="X226" s="91" t="s">
        <v>1686</v>
      </c>
      <c r="Y226" s="91"/>
      <c r="Z226" s="91" t="s">
        <v>1036</v>
      </c>
      <c r="AA226" s="91"/>
      <c r="AB226" s="91" t="s">
        <v>1596</v>
      </c>
      <c r="AC226" s="91"/>
      <c r="AD226" s="797" t="s">
        <v>1482</v>
      </c>
      <c r="AE226" s="797"/>
      <c r="AF226" s="162" t="s">
        <v>1481</v>
      </c>
      <c r="AG226" s="162"/>
      <c r="AH226" s="162" t="s">
        <v>985</v>
      </c>
      <c r="AI226" s="162"/>
      <c r="AJ226" s="180" t="s">
        <v>985</v>
      </c>
      <c r="AK226" s="180"/>
      <c r="AL226" s="216" t="s">
        <v>985</v>
      </c>
      <c r="AM226" s="922" t="s">
        <v>935</v>
      </c>
      <c r="AN226" s="922" t="s">
        <v>1908</v>
      </c>
      <c r="AO226" s="91"/>
      <c r="AP226" s="91" t="s">
        <v>1092</v>
      </c>
      <c r="AQ226" s="91"/>
      <c r="AS226" s="92">
        <v>1500</v>
      </c>
      <c r="AT226" s="94">
        <v>1550</v>
      </c>
      <c r="AU226" s="405">
        <v>5</v>
      </c>
      <c r="AV226" s="405" t="s">
        <v>1827</v>
      </c>
      <c r="AW226" s="405">
        <f>VLOOKUP(Таблица7[[#This Row],[Основное оружие]], Оружие[#All], 2, 0)</f>
        <v>0</v>
      </c>
      <c r="AX226" s="405">
        <f>IF(ISBLANK(Таблица7[[#This Row],[Дополнительное оружие]]),"", VLOOKUP(Таблица7[[#This Row],[Дополнительное оружие]], Оружие[#All], 2, 0))</f>
        <v>5</v>
      </c>
      <c r="AY22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2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2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26" s="405">
        <f>VLOOKUP(Таблица7[[#This Row],[Основное оружие]], Оружие[#All], 3, 0)</f>
        <v>1</v>
      </c>
      <c r="BC226" s="405">
        <f>IF(ISBLANK(Таблица7[[#This Row],[Дополнительное оружие]]),"", VLOOKUP(Таблица7[[#This Row],[Дополнительное оружие]], Оружие[#All], 3, 0))</f>
        <v>3</v>
      </c>
      <c r="BD22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2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2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2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2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2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10</v>
      </c>
      <c r="BJ226" s="405">
        <f>Таблица7[[#This Row],[Броня]]+Таблица7[[#This Row],[Щит]]+Таблица7[[#This Row],[навык защиты]]</f>
        <v>32</v>
      </c>
      <c r="BK226" s="1006"/>
      <c r="BL226" s="1006"/>
      <c r="BM226" s="386"/>
      <c r="BN226" s="98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26" s="386">
        <v>3</v>
      </c>
      <c r="BP226" s="386">
        <v>1</v>
      </c>
      <c r="BQ226" s="386">
        <v>-2</v>
      </c>
      <c r="BR226" s="386">
        <v>2</v>
      </c>
      <c r="BS226" s="386">
        <v>2</v>
      </c>
      <c r="BT226" s="386">
        <v>8</v>
      </c>
      <c r="BU226" s="983" t="s">
        <v>1576</v>
      </c>
      <c r="BV226" s="983" t="s">
        <v>1844</v>
      </c>
      <c r="BW226" s="386"/>
      <c r="BX226" s="386"/>
      <c r="BY226" s="386"/>
      <c r="BZ226" s="95"/>
    </row>
    <row r="227" spans="1:78" s="92" customFormat="1" ht="40.5" customHeight="1" x14ac:dyDescent="0.25">
      <c r="A227" s="333">
        <v>226</v>
      </c>
      <c r="B227" s="298" t="s">
        <v>1319</v>
      </c>
      <c r="C227" s="298"/>
      <c r="D227" s="91" t="s">
        <v>1556</v>
      </c>
      <c r="E227" s="462" t="s">
        <v>1547</v>
      </c>
      <c r="F227" s="462"/>
      <c r="G227" s="462"/>
      <c r="H227" s="462"/>
      <c r="I227" s="654">
        <v>0.3</v>
      </c>
      <c r="J227" s="60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227" s="607">
        <f>Таблица7[[#This Row],[Размер отряда минимум]]*1.25</f>
        <v>33.75</v>
      </c>
      <c r="L227" s="607">
        <f>Таблица7[[#This Row],[Размер отряда норма]]*1.5</f>
        <v>50.625</v>
      </c>
      <c r="M227" s="608">
        <f>Таблица7[[#This Row],[Размер отряда минимум]]*2.5</f>
        <v>67.5</v>
      </c>
      <c r="N227" s="608"/>
      <c r="O227" s="608"/>
      <c r="P227" s="608"/>
      <c r="Q227" s="608"/>
      <c r="R227" s="92" t="s">
        <v>14</v>
      </c>
      <c r="S227" s="961" t="s">
        <v>2886</v>
      </c>
      <c r="T227" s="91" t="s">
        <v>976</v>
      </c>
      <c r="U227" s="180" t="s">
        <v>1039</v>
      </c>
      <c r="V227" s="93"/>
      <c r="W227" s="180" t="s">
        <v>1001</v>
      </c>
      <c r="X227" s="91" t="s">
        <v>1691</v>
      </c>
      <c r="Y227" s="91"/>
      <c r="Z227" s="91" t="s">
        <v>1440</v>
      </c>
      <c r="AA227" s="91"/>
      <c r="AB227" s="91" t="s">
        <v>1596</v>
      </c>
      <c r="AC227" s="91"/>
      <c r="AD227" s="797" t="s">
        <v>1482</v>
      </c>
      <c r="AE227" s="797"/>
      <c r="AF227" s="162" t="s">
        <v>1481</v>
      </c>
      <c r="AG227" s="162"/>
      <c r="AH227" s="162" t="s">
        <v>985</v>
      </c>
      <c r="AI227" s="162"/>
      <c r="AJ227" s="180" t="s">
        <v>985</v>
      </c>
      <c r="AK227" s="180"/>
      <c r="AL227" s="216" t="s">
        <v>985</v>
      </c>
      <c r="AM227" s="922" t="s">
        <v>935</v>
      </c>
      <c r="AN227" s="922" t="s">
        <v>1908</v>
      </c>
      <c r="AO227" s="91"/>
      <c r="AP227" s="91" t="s">
        <v>1092</v>
      </c>
      <c r="AQ227" s="91"/>
      <c r="AS227" s="92">
        <v>1550</v>
      </c>
      <c r="AT227" s="94"/>
      <c r="AU227" s="405">
        <v>5</v>
      </c>
      <c r="AV227" s="405" t="s">
        <v>1827</v>
      </c>
      <c r="AW227" s="405">
        <f>VLOOKUP(Таблица7[[#This Row],[Основное оружие]], Оружие[#All], 2, 0)</f>
        <v>0</v>
      </c>
      <c r="AX227" s="405">
        <f>IF(ISBLANK(Таблица7[[#This Row],[Дополнительное оружие]]),"", VLOOKUP(Таблица7[[#This Row],[Дополнительное оружие]], Оружие[#All], 2, 0))</f>
        <v>4</v>
      </c>
      <c r="AY22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2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2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227" s="405">
        <f>VLOOKUP(Таблица7[[#This Row],[Основное оружие]], Оружие[#All], 3, 0)</f>
        <v>1</v>
      </c>
      <c r="BC227" s="405">
        <f>IF(ISBLANK(Таблица7[[#This Row],[Дополнительное оружие]]),"", VLOOKUP(Таблица7[[#This Row],[Дополнительное оружие]], Оружие[#All], 3, 0))</f>
        <v>3</v>
      </c>
      <c r="BD22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2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2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2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2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2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10</v>
      </c>
      <c r="BJ227" s="405">
        <f>Таблица7[[#This Row],[Броня]]+Таблица7[[#This Row],[Щит]]+Таблица7[[#This Row],[навык защиты]]</f>
        <v>32</v>
      </c>
      <c r="BK227" s="1006"/>
      <c r="BL227" s="1006"/>
      <c r="BM227" s="386"/>
      <c r="BN227" s="98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27" s="386">
        <v>3</v>
      </c>
      <c r="BP227" s="386">
        <v>1</v>
      </c>
      <c r="BQ227" s="386">
        <v>-2</v>
      </c>
      <c r="BR227" s="386">
        <v>2</v>
      </c>
      <c r="BS227" s="386">
        <v>2</v>
      </c>
      <c r="BT227" s="386">
        <v>8</v>
      </c>
      <c r="BU227" s="983" t="s">
        <v>1576</v>
      </c>
      <c r="BV227" s="983" t="s">
        <v>1844</v>
      </c>
      <c r="BW227" s="386"/>
      <c r="BX227" s="386"/>
      <c r="BY227" s="386"/>
      <c r="BZ227" s="95"/>
    </row>
    <row r="228" spans="1:78" s="92" customFormat="1" ht="40.5" customHeight="1" x14ac:dyDescent="0.25">
      <c r="A228" s="333">
        <v>227</v>
      </c>
      <c r="B228" s="298" t="s">
        <v>1320</v>
      </c>
      <c r="C228" s="298"/>
      <c r="D228" s="91" t="s">
        <v>1555</v>
      </c>
      <c r="E228" s="91" t="s">
        <v>1448</v>
      </c>
      <c r="F228" s="91"/>
      <c r="G228" s="91"/>
      <c r="H228" s="91"/>
      <c r="I228" s="654">
        <v>0.75</v>
      </c>
      <c r="J228" s="60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</v>
      </c>
      <c r="K228" s="607">
        <f>Таблица7[[#This Row],[Размер отряда минимум]]*1.25</f>
        <v>26.25</v>
      </c>
      <c r="L228" s="607">
        <f>Таблица7[[#This Row],[Размер отряда норма]]*1.5</f>
        <v>39.375</v>
      </c>
      <c r="M228" s="608">
        <f>Таблица7[[#This Row],[Размер отряда минимум]]*2.5</f>
        <v>52.5</v>
      </c>
      <c r="N228" s="608"/>
      <c r="O228" s="608"/>
      <c r="P228" s="608"/>
      <c r="Q228" s="608"/>
      <c r="R228" s="92" t="s">
        <v>14</v>
      </c>
      <c r="S228" s="961" t="s">
        <v>2886</v>
      </c>
      <c r="T228" s="91" t="s">
        <v>975</v>
      </c>
      <c r="U228" s="180" t="s">
        <v>1000</v>
      </c>
      <c r="V228" s="93"/>
      <c r="W228" s="91" t="s">
        <v>1001</v>
      </c>
      <c r="X228" s="91" t="s">
        <v>1528</v>
      </c>
      <c r="Y228" s="91"/>
      <c r="Z228" s="91" t="s">
        <v>1036</v>
      </c>
      <c r="AA228" s="91"/>
      <c r="AB228" s="91"/>
      <c r="AC228" s="91"/>
      <c r="AD228" s="180" t="s">
        <v>1211</v>
      </c>
      <c r="AE228" s="180"/>
      <c r="AF228" s="91" t="s">
        <v>1215</v>
      </c>
      <c r="AG228" s="91"/>
      <c r="AH228" s="91" t="s">
        <v>1481</v>
      </c>
      <c r="AI228" s="91"/>
      <c r="AJ228" s="180" t="s">
        <v>985</v>
      </c>
      <c r="AK228" s="180"/>
      <c r="AL228" s="216" t="s">
        <v>985</v>
      </c>
      <c r="AM228" s="91" t="s">
        <v>977</v>
      </c>
      <c r="AN228" s="91" t="s">
        <v>999</v>
      </c>
      <c r="AO228" s="91"/>
      <c r="AP228" s="91" t="s">
        <v>1091</v>
      </c>
      <c r="AQ228" s="91"/>
      <c r="AS228" s="92">
        <v>1500</v>
      </c>
      <c r="AT228" s="94">
        <v>1550</v>
      </c>
      <c r="AU228" s="405">
        <v>5</v>
      </c>
      <c r="AV228" s="405"/>
      <c r="AW228" s="405">
        <f>VLOOKUP(Таблица7[[#This Row],[Основное оружие]], Оружие[#All], 2, 0)</f>
        <v>2</v>
      </c>
      <c r="AX228" s="405">
        <f>IF(ISBLANK(Таблица7[[#This Row],[Дополнительное оружие]]),"", VLOOKUP(Таблица7[[#This Row],[Дополнительное оружие]], Оружие[#All], 2, 0))</f>
        <v>5</v>
      </c>
      <c r="AY22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2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22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228" s="405">
        <f>VLOOKUP(Таблица7[[#This Row],[Основное оружие]], Оружие[#All], 3, 0)</f>
        <v>6</v>
      </c>
      <c r="BC228" s="405">
        <f>IF(ISBLANK(Таблица7[[#This Row],[Дополнительное оружие]]),"", VLOOKUP(Таблица7[[#This Row],[Дополнительное оружие]], Оружие[#All], 3, 0))</f>
        <v>3</v>
      </c>
      <c r="BD22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2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14</v>
      </c>
      <c r="BF228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17</v>
      </c>
      <c r="BG22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2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2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28" s="405">
        <f>Таблица7[[#This Row],[Броня]]+Таблица7[[#This Row],[Щит]]+Таблица7[[#This Row],[навык защиты]]</f>
        <v>16</v>
      </c>
      <c r="BK228" s="1006"/>
      <c r="BL228" s="1006"/>
      <c r="BM228" s="386"/>
      <c r="BN228" s="98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28" s="386">
        <v>3</v>
      </c>
      <c r="BP228" s="386">
        <v>-2</v>
      </c>
      <c r="BQ228" s="386">
        <v>0</v>
      </c>
      <c r="BR228" s="386">
        <v>-4</v>
      </c>
      <c r="BS228" s="386">
        <v>-2</v>
      </c>
      <c r="BT228" s="386">
        <v>8</v>
      </c>
      <c r="BU228" s="983" t="s">
        <v>1839</v>
      </c>
      <c r="BV228" s="983" t="s">
        <v>1843</v>
      </c>
      <c r="BW228" s="386"/>
      <c r="BX228" s="386"/>
      <c r="BY228" s="386"/>
      <c r="BZ228" s="95"/>
    </row>
    <row r="229" spans="1:78" s="92" customFormat="1" ht="40.5" customHeight="1" x14ac:dyDescent="0.25">
      <c r="A229" s="333">
        <v>228</v>
      </c>
      <c r="B229" s="298" t="s">
        <v>1320</v>
      </c>
      <c r="C229" s="298"/>
      <c r="D229" s="91" t="s">
        <v>1555</v>
      </c>
      <c r="E229" s="91" t="s">
        <v>1571</v>
      </c>
      <c r="F229" s="91"/>
      <c r="G229" s="91"/>
      <c r="H229" s="91"/>
      <c r="I229" s="654">
        <v>0.75</v>
      </c>
      <c r="J229" s="60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229" s="607">
        <f>Таблица7[[#This Row],[Размер отряда минимум]]*1.25</f>
        <v>30</v>
      </c>
      <c r="L229" s="607">
        <f>Таблица7[[#This Row],[Размер отряда норма]]*1.5</f>
        <v>45</v>
      </c>
      <c r="M229" s="608">
        <f>Таблица7[[#This Row],[Размер отряда минимум]]*2.5</f>
        <v>60</v>
      </c>
      <c r="N229" s="608"/>
      <c r="O229" s="608"/>
      <c r="P229" s="608"/>
      <c r="Q229" s="608"/>
      <c r="R229" s="92" t="s">
        <v>14</v>
      </c>
      <c r="S229" s="961" t="s">
        <v>2886</v>
      </c>
      <c r="T229" s="91" t="s">
        <v>976</v>
      </c>
      <c r="U229" s="180" t="s">
        <v>1081</v>
      </c>
      <c r="V229" s="93"/>
      <c r="W229" s="180" t="s">
        <v>1001</v>
      </c>
      <c r="X229" s="91" t="s">
        <v>1468</v>
      </c>
      <c r="Y229" s="91"/>
      <c r="Z229" s="356" t="s">
        <v>1440</v>
      </c>
      <c r="AA229" s="356"/>
      <c r="AB229" s="91"/>
      <c r="AC229" s="91"/>
      <c r="AD229" s="180" t="s">
        <v>1211</v>
      </c>
      <c r="AE229" s="180"/>
      <c r="AF229" s="91" t="s">
        <v>1215</v>
      </c>
      <c r="AG229" s="91"/>
      <c r="AH229" s="91" t="s">
        <v>1481</v>
      </c>
      <c r="AI229" s="91"/>
      <c r="AJ229" s="180" t="s">
        <v>985</v>
      </c>
      <c r="AK229" s="180"/>
      <c r="AL229" s="216" t="s">
        <v>985</v>
      </c>
      <c r="AM229" s="91" t="s">
        <v>977</v>
      </c>
      <c r="AN229" s="91" t="s">
        <v>999</v>
      </c>
      <c r="AO229" s="91"/>
      <c r="AP229" s="91" t="s">
        <v>1091</v>
      </c>
      <c r="AQ229" s="91"/>
      <c r="AS229" s="92">
        <v>1550</v>
      </c>
      <c r="AT229" s="94"/>
      <c r="AU229" s="405">
        <v>5</v>
      </c>
      <c r="AV229" s="405" t="s">
        <v>1827</v>
      </c>
      <c r="AW229" s="405">
        <f>VLOOKUP(Таблица7[[#This Row],[Основное оружие]], Оружие[#All], 2, 0)</f>
        <v>0</v>
      </c>
      <c r="AX229" s="405">
        <f>IF(ISBLANK(Таблица7[[#This Row],[Дополнительное оружие]]),"", VLOOKUP(Таблица7[[#This Row],[Дополнительное оружие]], Оружие[#All], 2, 0))</f>
        <v>4</v>
      </c>
      <c r="AY22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2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2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29" s="405">
        <f>VLOOKUP(Таблица7[[#This Row],[Основное оружие]], Оружие[#All], 3, 0)</f>
        <v>1</v>
      </c>
      <c r="BC229" s="405">
        <f>IF(ISBLANK(Таблица7[[#This Row],[Дополнительное оружие]]),"", VLOOKUP(Таблица7[[#This Row],[Дополнительное оружие]], Оружие[#All], 3, 0))</f>
        <v>3</v>
      </c>
      <c r="BD22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2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14</v>
      </c>
      <c r="BF229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17</v>
      </c>
      <c r="BG22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2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2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29" s="405">
        <f>Таблица7[[#This Row],[Броня]]+Таблица7[[#This Row],[Щит]]+Таблица7[[#This Row],[навык защиты]]</f>
        <v>16</v>
      </c>
      <c r="BK229" s="1006"/>
      <c r="BL229" s="1006"/>
      <c r="BM229" s="386"/>
      <c r="BN229" s="98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29" s="386">
        <v>3</v>
      </c>
      <c r="BP229" s="386">
        <v>-2</v>
      </c>
      <c r="BQ229" s="386">
        <v>0</v>
      </c>
      <c r="BR229" s="386">
        <v>-4</v>
      </c>
      <c r="BS229" s="386">
        <v>-2</v>
      </c>
      <c r="BT229" s="386">
        <v>8</v>
      </c>
      <c r="BU229" s="983" t="s">
        <v>1839</v>
      </c>
      <c r="BV229" s="983" t="s">
        <v>1843</v>
      </c>
      <c r="BW229" s="386"/>
      <c r="BX229" s="386"/>
      <c r="BY229" s="386"/>
      <c r="BZ229" s="95"/>
    </row>
    <row r="230" spans="1:78" s="92" customFormat="1" ht="40.5" customHeight="1" x14ac:dyDescent="0.25">
      <c r="A230" s="333">
        <v>229</v>
      </c>
      <c r="B230" s="298" t="s">
        <v>1321</v>
      </c>
      <c r="C230" s="298"/>
      <c r="D230" s="91" t="s">
        <v>1555</v>
      </c>
      <c r="E230" s="462" t="s">
        <v>1547</v>
      </c>
      <c r="F230" s="462"/>
      <c r="G230" s="462"/>
      <c r="H230" s="462"/>
      <c r="I230" s="654">
        <v>0.5</v>
      </c>
      <c r="J230" s="60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230" s="607">
        <f>Таблица7[[#This Row],[Размер отряда минимум]]*1.25</f>
        <v>12.5</v>
      </c>
      <c r="L230" s="607">
        <f>Таблица7[[#This Row],[Размер отряда норма]]*1.5</f>
        <v>18.75</v>
      </c>
      <c r="M230" s="608">
        <f>Таблица7[[#This Row],[Размер отряда минимум]]*2.5</f>
        <v>25</v>
      </c>
      <c r="N230" s="608"/>
      <c r="O230" s="608"/>
      <c r="P230" s="608"/>
      <c r="Q230" s="608"/>
      <c r="R230" s="92" t="s">
        <v>14</v>
      </c>
      <c r="S230" s="961" t="s">
        <v>2886</v>
      </c>
      <c r="T230" s="92" t="s">
        <v>975</v>
      </c>
      <c r="U230" s="181" t="s">
        <v>1007</v>
      </c>
      <c r="V230" s="94"/>
      <c r="W230" s="92" t="s">
        <v>1001</v>
      </c>
      <c r="X230" s="91" t="s">
        <v>1528</v>
      </c>
      <c r="Y230" s="91"/>
      <c r="Z230" s="91" t="s">
        <v>1036</v>
      </c>
      <c r="AA230" s="91"/>
      <c r="AB230" s="91"/>
      <c r="AC230" s="91"/>
      <c r="AD230" s="181" t="s">
        <v>1004</v>
      </c>
      <c r="AE230" s="181"/>
      <c r="AF230" s="92" t="s">
        <v>985</v>
      </c>
      <c r="AH230" s="92" t="s">
        <v>985</v>
      </c>
      <c r="AJ230" s="181" t="s">
        <v>985</v>
      </c>
      <c r="AK230" s="181"/>
      <c r="AL230" s="216" t="s">
        <v>1163</v>
      </c>
      <c r="AM230" s="92" t="s">
        <v>935</v>
      </c>
      <c r="AN230" s="92" t="s">
        <v>952</v>
      </c>
      <c r="AP230" s="92" t="s">
        <v>952</v>
      </c>
      <c r="AS230" s="92">
        <v>1500</v>
      </c>
      <c r="AT230" s="94">
        <v>1565</v>
      </c>
      <c r="AU230" s="405">
        <v>10</v>
      </c>
      <c r="AV230" s="405"/>
      <c r="AW230" s="405">
        <f>VLOOKUP(Таблица7[[#This Row],[Основное оружие]], Оружие[#All], 2, 0)</f>
        <v>2</v>
      </c>
      <c r="AX230" s="405">
        <f>IF(ISBLANK(Таблица7[[#This Row],[Дополнительное оружие]]),"", VLOOKUP(Таблица7[[#This Row],[Дополнительное оружие]], Оружие[#All], 2, 0))</f>
        <v>5</v>
      </c>
      <c r="AY23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3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3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230" s="405">
        <f>VLOOKUP(Таблица7[[#This Row],[Основное оружие]], Оружие[#All], 3, 0)</f>
        <v>6</v>
      </c>
      <c r="BC230" s="405">
        <f>IF(ISBLANK(Таблица7[[#This Row],[Дополнительное оружие]]),"", VLOOKUP(Таблица7[[#This Row],[Дополнительное оружие]], Оружие[#All], 3, 0))</f>
        <v>3</v>
      </c>
      <c r="BD23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23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3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3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0" s="405">
        <f>Таблица7[[#This Row],[Броня]]+Таблица7[[#This Row],[Щит]]+Таблица7[[#This Row],[навык защиты]]</f>
        <v>29</v>
      </c>
      <c r="BK230" s="1006"/>
      <c r="BL230" s="1006"/>
      <c r="BM230" s="386"/>
      <c r="BN230" s="98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30" s="386">
        <v>3</v>
      </c>
      <c r="BP230" s="386">
        <v>-2</v>
      </c>
      <c r="BQ230" s="386">
        <v>0</v>
      </c>
      <c r="BR230" s="386">
        <v>-4</v>
      </c>
      <c r="BS230" s="386">
        <v>-2</v>
      </c>
      <c r="BT230" s="386">
        <v>11</v>
      </c>
      <c r="BU230" s="983" t="s">
        <v>1840</v>
      </c>
      <c r="BV230" s="983" t="s">
        <v>1844</v>
      </c>
      <c r="BW230" s="386"/>
      <c r="BX230" s="386"/>
      <c r="BY230" s="386"/>
      <c r="BZ230" s="95"/>
    </row>
    <row r="231" spans="1:78" s="92" customFormat="1" ht="40.5" customHeight="1" x14ac:dyDescent="0.25">
      <c r="A231" s="333">
        <v>230</v>
      </c>
      <c r="B231" s="298" t="s">
        <v>1321</v>
      </c>
      <c r="C231" s="298"/>
      <c r="D231" s="91" t="s">
        <v>1555</v>
      </c>
      <c r="E231" s="91" t="s">
        <v>1547</v>
      </c>
      <c r="F231" s="91"/>
      <c r="G231" s="91"/>
      <c r="H231" s="91"/>
      <c r="I231" s="654">
        <v>0.5</v>
      </c>
      <c r="J231" s="60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231" s="607">
        <f>Таблица7[[#This Row],[Размер отряда минимум]]*1.25</f>
        <v>15</v>
      </c>
      <c r="L231" s="607">
        <f>Таблица7[[#This Row],[Размер отряда норма]]*1.5</f>
        <v>22.5</v>
      </c>
      <c r="M231" s="608">
        <f>Таблица7[[#This Row],[Размер отряда минимум]]*2.5</f>
        <v>30</v>
      </c>
      <c r="N231" s="608"/>
      <c r="O231" s="608"/>
      <c r="P231" s="608"/>
      <c r="Q231" s="608"/>
      <c r="R231" s="92" t="s">
        <v>14</v>
      </c>
      <c r="S231" s="961" t="s">
        <v>2886</v>
      </c>
      <c r="T231" s="92" t="s">
        <v>976</v>
      </c>
      <c r="U231" s="181" t="s">
        <v>1007</v>
      </c>
      <c r="V231" s="94"/>
      <c r="W231" s="181" t="s">
        <v>1001</v>
      </c>
      <c r="X231" s="774" t="s">
        <v>1950</v>
      </c>
      <c r="Z231" s="92" t="s">
        <v>1440</v>
      </c>
      <c r="AD231" s="181" t="s">
        <v>1005</v>
      </c>
      <c r="AE231" s="181"/>
      <c r="AF231" s="92" t="s">
        <v>985</v>
      </c>
      <c r="AH231" s="92" t="s">
        <v>985</v>
      </c>
      <c r="AJ231" s="181" t="s">
        <v>985</v>
      </c>
      <c r="AK231" s="181"/>
      <c r="AL231" s="216" t="s">
        <v>985</v>
      </c>
      <c r="AM231" s="92" t="s">
        <v>935</v>
      </c>
      <c r="AN231" s="92" t="s">
        <v>952</v>
      </c>
      <c r="AP231" s="92" t="s">
        <v>952</v>
      </c>
      <c r="AS231" s="92">
        <v>1565</v>
      </c>
      <c r="AT231" s="94"/>
      <c r="AU231" s="405">
        <v>10</v>
      </c>
      <c r="AV231" s="405" t="s">
        <v>1828</v>
      </c>
      <c r="AW231" s="405">
        <f>VLOOKUP(Таблица7[[#This Row],[Основное оружие]], Оружие[#All], 2, 0)</f>
        <v>0</v>
      </c>
      <c r="AX231" s="405">
        <f>IF(ISBLANK(Таблица7[[#This Row],[Дополнительное оружие]]),"", VLOOKUP(Таблица7[[#This Row],[Дополнительное оружие]], Оружие[#All], 2, 0))</f>
        <v>4</v>
      </c>
      <c r="AY23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3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3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31" s="405">
        <f>VLOOKUP(Таблица7[[#This Row],[Основное оружие]], Оружие[#All], 3, 0)</f>
        <v>1</v>
      </c>
      <c r="BC231" s="405">
        <f>IF(ISBLANK(Таблица7[[#This Row],[Дополнительное оружие]]),"", VLOOKUP(Таблица7[[#This Row],[Дополнительное оружие]], Оружие[#All], 3, 0))</f>
        <v>3</v>
      </c>
      <c r="BD23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23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3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3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1" s="405">
        <f>Таблица7[[#This Row],[Броня]]+Таблица7[[#This Row],[Щит]]+Таблица7[[#This Row],[навык защиты]]</f>
        <v>28</v>
      </c>
      <c r="BK231" s="1006"/>
      <c r="BL231" s="1006"/>
      <c r="BM231" s="386"/>
      <c r="BN231" s="98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31" s="386">
        <v>3</v>
      </c>
      <c r="BP231" s="386">
        <v>-2</v>
      </c>
      <c r="BQ231" s="386">
        <v>0</v>
      </c>
      <c r="BR231" s="386">
        <v>-4</v>
      </c>
      <c r="BS231" s="386">
        <v>-2</v>
      </c>
      <c r="BT231" s="386">
        <v>11</v>
      </c>
      <c r="BU231" s="983" t="s">
        <v>1840</v>
      </c>
      <c r="BV231" s="983" t="s">
        <v>1844</v>
      </c>
      <c r="BW231" s="386"/>
      <c r="BX231" s="386"/>
      <c r="BY231" s="386"/>
      <c r="BZ231" s="95"/>
    </row>
    <row r="232" spans="1:78" s="97" customFormat="1" ht="40.5" customHeight="1" x14ac:dyDescent="0.25">
      <c r="A232" s="333">
        <v>231</v>
      </c>
      <c r="B232" s="299" t="s">
        <v>1322</v>
      </c>
      <c r="C232" s="299"/>
      <c r="D232" s="96" t="s">
        <v>1556</v>
      </c>
      <c r="E232" s="96" t="s">
        <v>1560</v>
      </c>
      <c r="F232" s="96"/>
      <c r="G232" s="96"/>
      <c r="H232" s="96"/>
      <c r="I232" s="655">
        <v>1</v>
      </c>
      <c r="J232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32" s="609">
        <f>Таблица7[[#This Row],[Размер отряда минимум]]*1.25</f>
        <v>112.5</v>
      </c>
      <c r="L232" s="609">
        <f>Таблица7[[#This Row],[Размер отряда норма]]*1.5</f>
        <v>168.75</v>
      </c>
      <c r="M232" s="610">
        <f>Таблица7[[#This Row],[Размер отряда минимум]]*2.5</f>
        <v>225</v>
      </c>
      <c r="N232" s="610"/>
      <c r="O232" s="610"/>
      <c r="P232" s="610"/>
      <c r="Q232" s="610"/>
      <c r="R232" s="768" t="s">
        <v>1093</v>
      </c>
      <c r="S232" s="962" t="s">
        <v>2887</v>
      </c>
      <c r="T232" s="96" t="s">
        <v>975</v>
      </c>
      <c r="U232" s="182" t="s">
        <v>1094</v>
      </c>
      <c r="V232" s="98"/>
      <c r="W232" s="96" t="s">
        <v>984</v>
      </c>
      <c r="X232" s="96" t="s">
        <v>1095</v>
      </c>
      <c r="Y232" s="96"/>
      <c r="Z232" s="96"/>
      <c r="AA232" s="96"/>
      <c r="AB232" s="96"/>
      <c r="AC232" s="96"/>
      <c r="AD232" s="182" t="s">
        <v>985</v>
      </c>
      <c r="AE232" s="182"/>
      <c r="AF232" s="96" t="s">
        <v>985</v>
      </c>
      <c r="AG232" s="96"/>
      <c r="AH232" s="96" t="s">
        <v>985</v>
      </c>
      <c r="AI232" s="96"/>
      <c r="AJ232" s="182" t="s">
        <v>985</v>
      </c>
      <c r="AK232" s="182"/>
      <c r="AL232" s="217" t="s">
        <v>985</v>
      </c>
      <c r="AM232" s="96" t="s">
        <v>935</v>
      </c>
      <c r="AN232" s="96" t="s">
        <v>955</v>
      </c>
      <c r="AO232" s="96"/>
      <c r="AP232" s="96" t="s">
        <v>1096</v>
      </c>
      <c r="AQ232" s="96"/>
      <c r="AS232" s="97">
        <v>1500</v>
      </c>
      <c r="AT232" s="99">
        <v>1568</v>
      </c>
      <c r="AU232" s="405">
        <v>1</v>
      </c>
      <c r="AV232" s="405"/>
      <c r="AW232" s="405">
        <f>VLOOKUP(Таблица7[[#This Row],[Основное оружие]], Оружие[#All], 2, 0)</f>
        <v>2</v>
      </c>
      <c r="AX232" s="405" t="str">
        <f>IF(ISBLANK(Таблица7[[#This Row],[Дополнительное оружие]]),"", VLOOKUP(Таблица7[[#This Row],[Дополнительное оружие]], Оружие[#All], 2, 0))</f>
        <v/>
      </c>
      <c r="AY23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3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23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32" s="405">
        <f>VLOOKUP(Таблица7[[#This Row],[Основное оружие]], Оружие[#All], 3, 0)</f>
        <v>3</v>
      </c>
      <c r="BC232" s="405" t="str">
        <f>IF(ISBLANK(Таблица7[[#This Row],[Дополнительное оружие]]),"", VLOOKUP(Таблица7[[#This Row],[Дополнительное оружие]], Оружие[#All], 3, 0))</f>
        <v/>
      </c>
      <c r="BD23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3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3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3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2" s="405">
        <f>Таблица7[[#This Row],[Броня]]+Таблица7[[#This Row],[Щит]]+Таблица7[[#This Row],[навык защиты]]</f>
        <v>3</v>
      </c>
      <c r="BK232" s="1006"/>
      <c r="BL232" s="1006"/>
      <c r="BM232" s="387"/>
      <c r="BN232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32" s="387">
        <v>2</v>
      </c>
      <c r="BP232" s="387">
        <v>0</v>
      </c>
      <c r="BQ232" s="387">
        <v>-1</v>
      </c>
      <c r="BR232" s="387">
        <v>-1</v>
      </c>
      <c r="BS232" s="387">
        <v>1</v>
      </c>
      <c r="BT232" s="387">
        <v>2</v>
      </c>
      <c r="BU232" s="984" t="s">
        <v>1839</v>
      </c>
      <c r="BV232" s="984" t="s">
        <v>1842</v>
      </c>
      <c r="BW232" s="387"/>
      <c r="BX232" s="387"/>
      <c r="BY232" s="387"/>
      <c r="BZ232" s="100"/>
    </row>
    <row r="233" spans="1:78" s="97" customFormat="1" ht="40.5" customHeight="1" x14ac:dyDescent="0.25">
      <c r="A233" s="333">
        <v>232</v>
      </c>
      <c r="B233" s="226" t="s">
        <v>1177</v>
      </c>
      <c r="C233" s="226"/>
      <c r="D233" s="226" t="s">
        <v>1556</v>
      </c>
      <c r="E233" s="226" t="s">
        <v>1570</v>
      </c>
      <c r="F233" s="226"/>
      <c r="G233" s="226"/>
      <c r="H233" s="226"/>
      <c r="I233" s="655">
        <v>1</v>
      </c>
      <c r="J233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233" s="609">
        <f>Таблица7[[#This Row],[Размер отряда минимум]]*1.25</f>
        <v>125</v>
      </c>
      <c r="L233" s="609">
        <f>Таблица7[[#This Row],[Размер отряда норма]]*1.5</f>
        <v>187.5</v>
      </c>
      <c r="M233" s="610">
        <f>Таблица7[[#This Row],[Размер отряда минимум]]*2.5</f>
        <v>250</v>
      </c>
      <c r="N233" s="610"/>
      <c r="O233" s="610"/>
      <c r="P233" s="610"/>
      <c r="Q233" s="610"/>
      <c r="R233" s="96" t="s">
        <v>1093</v>
      </c>
      <c r="S233" s="962" t="s">
        <v>2887</v>
      </c>
      <c r="T233" s="226" t="s">
        <v>976</v>
      </c>
      <c r="U233" s="229" t="s">
        <v>1176</v>
      </c>
      <c r="V233" s="227"/>
      <c r="W233" s="226" t="s">
        <v>984</v>
      </c>
      <c r="X233" s="320" t="s">
        <v>1469</v>
      </c>
      <c r="Y233" s="320"/>
      <c r="Z233" s="320" t="s">
        <v>1579</v>
      </c>
      <c r="AA233" s="320"/>
      <c r="AB233" s="320"/>
      <c r="AC233" s="320"/>
      <c r="AD233" s="229" t="s">
        <v>985</v>
      </c>
      <c r="AE233" s="229"/>
      <c r="AF233" s="226" t="s">
        <v>985</v>
      </c>
      <c r="AG233" s="226"/>
      <c r="AH233" s="226" t="s">
        <v>985</v>
      </c>
      <c r="AI233" s="226"/>
      <c r="AJ233" s="229" t="s">
        <v>985</v>
      </c>
      <c r="AK233" s="229"/>
      <c r="AL233" s="228" t="s">
        <v>985</v>
      </c>
      <c r="AM233" s="96" t="s">
        <v>935</v>
      </c>
      <c r="AN233" s="96" t="s">
        <v>955</v>
      </c>
      <c r="AO233" s="96"/>
      <c r="AP233" s="96" t="s">
        <v>1096</v>
      </c>
      <c r="AQ233" s="96"/>
      <c r="AS233" s="97">
        <v>1568</v>
      </c>
      <c r="AT233" s="99"/>
      <c r="AU233" s="405">
        <v>2</v>
      </c>
      <c r="AV233" s="405" t="s">
        <v>1828</v>
      </c>
      <c r="AW233" s="405">
        <f>VLOOKUP(Таблица7[[#This Row],[Основное оружие]], Оружие[#All], 2, 0)</f>
        <v>0</v>
      </c>
      <c r="AX233" s="405">
        <f>IF(ISBLANK(Таблица7[[#This Row],[Дополнительное оружие]]),"", VLOOKUP(Таблица7[[#This Row],[Дополнительное оружие]], Оружие[#All], 2, 0))</f>
        <v>1</v>
      </c>
      <c r="AY23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3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3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5</v>
      </c>
      <c r="BB233" s="405">
        <f>VLOOKUP(Таблица7[[#This Row],[Основное оружие]], Оружие[#All], 3, 0)</f>
        <v>1</v>
      </c>
      <c r="BC233" s="405">
        <f>IF(ISBLANK(Таблица7[[#This Row],[Дополнительное оружие]]),"", VLOOKUP(Таблица7[[#This Row],[Дополнительное оружие]], Оружие[#All], 3, 0))</f>
        <v>1</v>
      </c>
      <c r="BD23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3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3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3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3" s="405">
        <f>Таблица7[[#This Row],[Броня]]+Таблица7[[#This Row],[Щит]]+Таблица7[[#This Row],[навык защиты]]</f>
        <v>4</v>
      </c>
      <c r="BK233" s="1006"/>
      <c r="BL233" s="1006"/>
      <c r="BM233" s="387"/>
      <c r="BN233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33" s="387">
        <v>2</v>
      </c>
      <c r="BP233" s="387">
        <v>1</v>
      </c>
      <c r="BQ233" s="387">
        <v>-1</v>
      </c>
      <c r="BR233" s="387">
        <v>2</v>
      </c>
      <c r="BS233" s="387">
        <v>1</v>
      </c>
      <c r="BT233" s="387">
        <v>5</v>
      </c>
      <c r="BU233" s="984" t="s">
        <v>1839</v>
      </c>
      <c r="BV233" s="984" t="s">
        <v>1842</v>
      </c>
      <c r="BW233" s="387"/>
      <c r="BX233" s="387"/>
      <c r="BY233" s="387"/>
      <c r="BZ233" s="100"/>
    </row>
    <row r="234" spans="1:78" s="97" customFormat="1" ht="40.5" customHeight="1" x14ac:dyDescent="0.25">
      <c r="A234" s="333">
        <v>233</v>
      </c>
      <c r="B234" s="299" t="s">
        <v>1323</v>
      </c>
      <c r="C234" s="299"/>
      <c r="D234" s="226" t="s">
        <v>1556</v>
      </c>
      <c r="E234" s="226" t="s">
        <v>1560</v>
      </c>
      <c r="F234" s="226"/>
      <c r="G234" s="226"/>
      <c r="H234" s="226"/>
      <c r="I234" s="655">
        <v>0.75</v>
      </c>
      <c r="J234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34" s="609">
        <f>Таблица7[[#This Row],[Размер отряда минимум]]*1.25</f>
        <v>93.75</v>
      </c>
      <c r="L234" s="609">
        <f>Таблица7[[#This Row],[Размер отряда норма]]*1.5</f>
        <v>140.625</v>
      </c>
      <c r="M234" s="610">
        <f>Таблица7[[#This Row],[Размер отряда минимум]]*2.5</f>
        <v>187.5</v>
      </c>
      <c r="N234" s="610"/>
      <c r="O234" s="610"/>
      <c r="P234" s="610"/>
      <c r="Q234" s="610"/>
      <c r="R234" s="96" t="s">
        <v>1093</v>
      </c>
      <c r="S234" s="962" t="s">
        <v>2887</v>
      </c>
      <c r="T234" s="226" t="s">
        <v>976</v>
      </c>
      <c r="U234" s="738" t="s">
        <v>1041</v>
      </c>
      <c r="V234" s="312"/>
      <c r="W234" s="226" t="s">
        <v>993</v>
      </c>
      <c r="X234" s="226" t="s">
        <v>994</v>
      </c>
      <c r="Y234" s="226"/>
      <c r="Z234" s="226"/>
      <c r="AA234" s="226"/>
      <c r="AB234" s="226"/>
      <c r="AC234" s="226"/>
      <c r="AD234" s="229" t="s">
        <v>985</v>
      </c>
      <c r="AE234" s="229"/>
      <c r="AF234" s="226" t="s">
        <v>991</v>
      </c>
      <c r="AG234" s="226"/>
      <c r="AH234" s="226" t="s">
        <v>985</v>
      </c>
      <c r="AI234" s="226"/>
      <c r="AJ234" s="226" t="s">
        <v>985</v>
      </c>
      <c r="AK234" s="226"/>
      <c r="AL234" s="228" t="s">
        <v>985</v>
      </c>
      <c r="AM234" s="226" t="s">
        <v>978</v>
      </c>
      <c r="AN234" s="226" t="s">
        <v>997</v>
      </c>
      <c r="AO234" s="226"/>
      <c r="AP234" s="96" t="s">
        <v>1096</v>
      </c>
      <c r="AQ234" s="96"/>
      <c r="AS234" s="97">
        <v>1568</v>
      </c>
      <c r="AT234" s="99"/>
      <c r="AU234" s="444">
        <v>5</v>
      </c>
      <c r="AV234" s="405"/>
      <c r="AW234" s="405">
        <f>VLOOKUP(Таблица7[[#This Row],[Основное оружие]], Оружие[#All], 2, 0)</f>
        <v>1</v>
      </c>
      <c r="AX234" s="405" t="str">
        <f>IF(ISBLANK(Таблица7[[#This Row],[Дополнительное оружие]]),"", VLOOKUP(Таблица7[[#This Row],[Дополнительное оружие]], Оружие[#All], 2, 0))</f>
        <v/>
      </c>
      <c r="AY23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3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234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34" s="405">
        <f>VLOOKUP(Таблица7[[#This Row],[Основное оружие]], Оружие[#All], 3, 0)</f>
        <v>1</v>
      </c>
      <c r="BC234" s="405" t="str">
        <f>IF(ISBLANK(Таблица7[[#This Row],[Дополнительное оружие]]),"", VLOOKUP(Таблица7[[#This Row],[Дополнительное оружие]], Оружие[#All], 3, 0))</f>
        <v/>
      </c>
      <c r="BD23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3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3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3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4" s="405">
        <f>Таблица7[[#This Row],[Броня]]+Таблица7[[#This Row],[Щит]]+Таблица7[[#This Row],[навык защиты]]</f>
        <v>5</v>
      </c>
      <c r="BK234" s="1006"/>
      <c r="BL234" s="1006"/>
      <c r="BM234" s="387"/>
      <c r="BN234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34" s="387">
        <v>2</v>
      </c>
      <c r="BP234" s="387">
        <v>-1</v>
      </c>
      <c r="BQ234" s="387">
        <v>-1</v>
      </c>
      <c r="BR234" s="387">
        <v>-2</v>
      </c>
      <c r="BS234" s="387">
        <v>1</v>
      </c>
      <c r="BT234" s="387">
        <v>7</v>
      </c>
      <c r="BU234" s="984" t="s">
        <v>1576</v>
      </c>
      <c r="BV234" s="984" t="s">
        <v>1843</v>
      </c>
      <c r="BW234" s="387"/>
      <c r="BX234" s="387"/>
      <c r="BY234" s="387"/>
      <c r="BZ234" s="100"/>
    </row>
    <row r="235" spans="1:78" s="97" customFormat="1" ht="40.5" customHeight="1" x14ac:dyDescent="0.25">
      <c r="A235" s="333">
        <v>234</v>
      </c>
      <c r="B235" s="299" t="s">
        <v>1324</v>
      </c>
      <c r="C235" s="299"/>
      <c r="D235" s="226" t="s">
        <v>1556</v>
      </c>
      <c r="E235" s="226" t="s">
        <v>1561</v>
      </c>
      <c r="F235" s="226"/>
      <c r="G235" s="226"/>
      <c r="H235" s="226"/>
      <c r="I235" s="655">
        <v>0.75</v>
      </c>
      <c r="J235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35" s="609">
        <f>Таблица7[[#This Row],[Размер отряда минимум]]*1.25</f>
        <v>93.75</v>
      </c>
      <c r="L235" s="609">
        <f>Таблица7[[#This Row],[Размер отряда норма]]*1.5</f>
        <v>140.625</v>
      </c>
      <c r="M235" s="610">
        <f>Таблица7[[#This Row],[Размер отряда минимум]]*2.5</f>
        <v>187.5</v>
      </c>
      <c r="N235" s="610"/>
      <c r="O235" s="610"/>
      <c r="P235" s="610"/>
      <c r="Q235" s="610"/>
      <c r="R235" s="96" t="s">
        <v>1093</v>
      </c>
      <c r="S235" s="962" t="s">
        <v>2887</v>
      </c>
      <c r="T235" s="226" t="s">
        <v>976</v>
      </c>
      <c r="U235" s="229" t="s">
        <v>1179</v>
      </c>
      <c r="V235" s="227"/>
      <c r="W235" s="229" t="s">
        <v>993</v>
      </c>
      <c r="X235" s="226" t="s">
        <v>994</v>
      </c>
      <c r="Y235" s="226"/>
      <c r="Z235" s="226"/>
      <c r="AA235" s="226"/>
      <c r="AB235" s="226"/>
      <c r="AC235" s="226"/>
      <c r="AD235" s="229" t="s">
        <v>1158</v>
      </c>
      <c r="AE235" s="229"/>
      <c r="AF235" s="226" t="s">
        <v>1211</v>
      </c>
      <c r="AG235" s="226"/>
      <c r="AH235" s="226" t="s">
        <v>985</v>
      </c>
      <c r="AI235" s="226"/>
      <c r="AJ235" s="229" t="s">
        <v>985</v>
      </c>
      <c r="AK235" s="229"/>
      <c r="AL235" s="228" t="s">
        <v>985</v>
      </c>
      <c r="AM235" s="226" t="s">
        <v>1178</v>
      </c>
      <c r="AN235" s="226" t="s">
        <v>997</v>
      </c>
      <c r="AO235" s="226"/>
      <c r="AP235" s="96" t="s">
        <v>1096</v>
      </c>
      <c r="AQ235" s="96"/>
      <c r="AS235" s="97">
        <v>1568</v>
      </c>
      <c r="AT235" s="99"/>
      <c r="AU235" s="444">
        <v>5</v>
      </c>
      <c r="AV235" s="405"/>
      <c r="AW235" s="405">
        <f>VLOOKUP(Таблица7[[#This Row],[Основное оружие]], Оружие[#All], 2, 0)</f>
        <v>1</v>
      </c>
      <c r="AX235" s="405" t="str">
        <f>IF(ISBLANK(Таблица7[[#This Row],[Дополнительное оружие]]),"", VLOOKUP(Таблица7[[#This Row],[Дополнительное оружие]], Оружие[#All], 2, 0))</f>
        <v/>
      </c>
      <c r="AY23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3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235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35" s="405">
        <f>VLOOKUP(Таблица7[[#This Row],[Основное оружие]], Оружие[#All], 3, 0)</f>
        <v>1</v>
      </c>
      <c r="BC235" s="405" t="str">
        <f>IF(ISBLANK(Таблица7[[#This Row],[Дополнительное оружие]]),"", VLOOKUP(Таблица7[[#This Row],[Дополнительное оружие]], Оружие[#All], 3, 0))</f>
        <v/>
      </c>
      <c r="BD23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3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3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3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5" s="405">
        <f>Таблица7[[#This Row],[Броня]]+Таблица7[[#This Row],[Щит]]+Таблица7[[#This Row],[навык защиты]]</f>
        <v>16</v>
      </c>
      <c r="BK235" s="1006"/>
      <c r="BL235" s="1006"/>
      <c r="BM235" s="387"/>
      <c r="BN235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35" s="387">
        <v>2</v>
      </c>
      <c r="BP235" s="387">
        <v>-1</v>
      </c>
      <c r="BQ235" s="387">
        <v>-1</v>
      </c>
      <c r="BR235" s="387">
        <v>-2</v>
      </c>
      <c r="BS235" s="387">
        <v>1</v>
      </c>
      <c r="BT235" s="387">
        <v>7</v>
      </c>
      <c r="BU235" s="984" t="s">
        <v>1576</v>
      </c>
      <c r="BV235" s="984" t="s">
        <v>1843</v>
      </c>
      <c r="BW235" s="387"/>
      <c r="BX235" s="387"/>
      <c r="BY235" s="387"/>
      <c r="BZ235" s="100"/>
    </row>
    <row r="236" spans="1:78" s="97" customFormat="1" ht="40.5" customHeight="1" x14ac:dyDescent="0.25">
      <c r="A236" s="333">
        <v>235</v>
      </c>
      <c r="B236" s="299" t="s">
        <v>1325</v>
      </c>
      <c r="C236" s="299"/>
      <c r="D236" s="226" t="s">
        <v>1556</v>
      </c>
      <c r="E236" s="226" t="s">
        <v>1562</v>
      </c>
      <c r="F236" s="226"/>
      <c r="G236" s="226"/>
      <c r="H236" s="226"/>
      <c r="I236" s="655">
        <v>0.75</v>
      </c>
      <c r="J236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236" s="609">
        <f>Таблица7[[#This Row],[Размер отряда минимум]]*1.25</f>
        <v>84.375</v>
      </c>
      <c r="L236" s="609">
        <f>Таблица7[[#This Row],[Размер отряда норма]]*1.5</f>
        <v>126.5625</v>
      </c>
      <c r="M236" s="610">
        <f>Таблица7[[#This Row],[Размер отряда минимум]]*2.5</f>
        <v>168.75</v>
      </c>
      <c r="N236" s="610"/>
      <c r="O236" s="610"/>
      <c r="P236" s="610"/>
      <c r="Q236" s="610"/>
      <c r="R236" s="96" t="s">
        <v>1093</v>
      </c>
      <c r="S236" s="962" t="s">
        <v>2887</v>
      </c>
      <c r="T236" s="226" t="s">
        <v>976</v>
      </c>
      <c r="U236" s="229" t="s">
        <v>1180</v>
      </c>
      <c r="V236" s="227"/>
      <c r="W236" s="229" t="s">
        <v>993</v>
      </c>
      <c r="X236" s="97" t="s">
        <v>994</v>
      </c>
      <c r="AD236" s="798" t="s">
        <v>1482</v>
      </c>
      <c r="AE236" s="798"/>
      <c r="AF236" s="97" t="s">
        <v>1481</v>
      </c>
      <c r="AH236" s="97" t="s">
        <v>985</v>
      </c>
      <c r="AJ236" s="525" t="s">
        <v>985</v>
      </c>
      <c r="AK236" s="525"/>
      <c r="AL236" s="200" t="s">
        <v>985</v>
      </c>
      <c r="AM236" s="97" t="s">
        <v>977</v>
      </c>
      <c r="AN236" s="97" t="s">
        <v>997</v>
      </c>
      <c r="AP236" s="96" t="s">
        <v>1096</v>
      </c>
      <c r="AQ236" s="96"/>
      <c r="AS236" s="97">
        <v>1568</v>
      </c>
      <c r="AT236" s="99"/>
      <c r="AU236" s="444">
        <v>5</v>
      </c>
      <c r="AV236" s="405"/>
      <c r="AW236" s="405">
        <f>VLOOKUP(Таблица7[[#This Row],[Основное оружие]], Оружие[#All], 2, 0)</f>
        <v>1</v>
      </c>
      <c r="AX236" s="405" t="str">
        <f>IF(ISBLANK(Таблица7[[#This Row],[Дополнительное оружие]]),"", VLOOKUP(Таблица7[[#This Row],[Дополнительное оружие]], Оружие[#All], 2, 0))</f>
        <v/>
      </c>
      <c r="AY23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23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3</v>
      </c>
      <c r="BA236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36" s="405">
        <f>VLOOKUP(Таблица7[[#This Row],[Основное оружие]], Оружие[#All], 3, 0)</f>
        <v>1</v>
      </c>
      <c r="BC236" s="405" t="str">
        <f>IF(ISBLANK(Таблица7[[#This Row],[Дополнительное оружие]]),"", VLOOKUP(Таблица7[[#This Row],[Дополнительное оружие]], Оружие[#All], 3, 0))</f>
        <v/>
      </c>
      <c r="BD23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3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3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3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6" s="405">
        <f>Таблица7[[#This Row],[Броня]]+Таблица7[[#This Row],[Щит]]+Таблица7[[#This Row],[навык защиты]]</f>
        <v>20</v>
      </c>
      <c r="BK236" s="1006"/>
      <c r="BL236" s="1006"/>
      <c r="BM236" s="387"/>
      <c r="BN236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36" s="387">
        <v>2</v>
      </c>
      <c r="BP236" s="387">
        <v>-1</v>
      </c>
      <c r="BQ236" s="387">
        <v>-1</v>
      </c>
      <c r="BR236" s="387">
        <v>-2</v>
      </c>
      <c r="BS236" s="387">
        <v>1</v>
      </c>
      <c r="BT236" s="387">
        <v>8</v>
      </c>
      <c r="BU236" s="984" t="s">
        <v>1840</v>
      </c>
      <c r="BV236" s="984" t="s">
        <v>1844</v>
      </c>
      <c r="BW236" s="387"/>
      <c r="BX236" s="387"/>
      <c r="BY236" s="387"/>
      <c r="BZ236" s="100"/>
    </row>
    <row r="237" spans="1:78" s="97" customFormat="1" ht="40.5" customHeight="1" x14ac:dyDescent="0.25">
      <c r="A237" s="333">
        <v>236</v>
      </c>
      <c r="B237" s="299" t="s">
        <v>1326</v>
      </c>
      <c r="C237" s="299"/>
      <c r="D237" s="226" t="s">
        <v>1556</v>
      </c>
      <c r="E237" s="226" t="s">
        <v>1570</v>
      </c>
      <c r="F237" s="226"/>
      <c r="G237" s="226"/>
      <c r="H237" s="226"/>
      <c r="I237" s="655">
        <v>0.75</v>
      </c>
      <c r="J237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37" s="609">
        <f>Таблица7[[#This Row],[Размер отряда минимум]]*1.25</f>
        <v>93.75</v>
      </c>
      <c r="L237" s="609">
        <f>Таблица7[[#This Row],[Размер отряда норма]]*1.5</f>
        <v>140.625</v>
      </c>
      <c r="M237" s="610">
        <f>Таблица7[[#This Row],[Размер отряда минимум]]*2.5</f>
        <v>187.5</v>
      </c>
      <c r="N237" s="610"/>
      <c r="O237" s="610"/>
      <c r="P237" s="610"/>
      <c r="Q237" s="610"/>
      <c r="R237" s="96" t="s">
        <v>1093</v>
      </c>
      <c r="S237" s="962" t="s">
        <v>2887</v>
      </c>
      <c r="T237" s="226" t="s">
        <v>976</v>
      </c>
      <c r="U237" s="229" t="s">
        <v>1051</v>
      </c>
      <c r="V237" s="227"/>
      <c r="W237" s="229" t="s">
        <v>1001</v>
      </c>
      <c r="X237" s="320" t="s">
        <v>1469</v>
      </c>
      <c r="Y237" s="320"/>
      <c r="Z237" s="320" t="s">
        <v>1440</v>
      </c>
      <c r="AA237" s="320"/>
      <c r="AB237" s="320"/>
      <c r="AC237" s="320"/>
      <c r="AD237" s="229" t="s">
        <v>985</v>
      </c>
      <c r="AE237" s="229"/>
      <c r="AF237" s="226" t="s">
        <v>991</v>
      </c>
      <c r="AG237" s="226"/>
      <c r="AH237" s="226" t="s">
        <v>985</v>
      </c>
      <c r="AI237" s="226"/>
      <c r="AJ237" s="229" t="s">
        <v>985</v>
      </c>
      <c r="AK237" s="229"/>
      <c r="AL237" s="228" t="s">
        <v>985</v>
      </c>
      <c r="AM237" s="226" t="s">
        <v>978</v>
      </c>
      <c r="AN237" s="226" t="s">
        <v>997</v>
      </c>
      <c r="AO237" s="226"/>
      <c r="AP237" s="96" t="s">
        <v>1096</v>
      </c>
      <c r="AQ237" s="96"/>
      <c r="AS237" s="97">
        <v>1568</v>
      </c>
      <c r="AT237" s="99"/>
      <c r="AU237" s="405">
        <v>4</v>
      </c>
      <c r="AV237" s="405" t="s">
        <v>1828</v>
      </c>
      <c r="AW237" s="405">
        <f>VLOOKUP(Таблица7[[#This Row],[Основное оружие]], Оружие[#All], 2, 0)</f>
        <v>0</v>
      </c>
      <c r="AX237" s="405">
        <f>IF(ISBLANK(Таблица7[[#This Row],[Дополнительное оружие]]),"", VLOOKUP(Таблица7[[#This Row],[Дополнительное оружие]], Оружие[#All], 2, 0))</f>
        <v>4</v>
      </c>
      <c r="AY23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3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3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237" s="405">
        <f>VLOOKUP(Таблица7[[#This Row],[Основное оружие]], Оружие[#All], 3, 0)</f>
        <v>1</v>
      </c>
      <c r="BC237" s="405">
        <f>IF(ISBLANK(Таблица7[[#This Row],[Дополнительное оружие]]),"", VLOOKUP(Таблица7[[#This Row],[Дополнительное оружие]], Оружие[#All], 3, 0))</f>
        <v>3</v>
      </c>
      <c r="BD23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3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3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3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7" s="405">
        <f>Таблица7[[#This Row],[Броня]]+Таблица7[[#This Row],[Щит]]+Таблица7[[#This Row],[навык защиты]]</f>
        <v>6</v>
      </c>
      <c r="BK237" s="1006"/>
      <c r="BL237" s="1006"/>
      <c r="BM237" s="387"/>
      <c r="BN237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37" s="387">
        <v>2</v>
      </c>
      <c r="BP237" s="387">
        <v>1</v>
      </c>
      <c r="BQ237" s="387">
        <v>-1</v>
      </c>
      <c r="BR237" s="387">
        <v>2</v>
      </c>
      <c r="BS237" s="387">
        <v>1</v>
      </c>
      <c r="BT237" s="387">
        <v>7</v>
      </c>
      <c r="BU237" s="984" t="s">
        <v>1840</v>
      </c>
      <c r="BV237" s="984" t="s">
        <v>1844</v>
      </c>
      <c r="BW237" s="387"/>
      <c r="BX237" s="387"/>
      <c r="BY237" s="387"/>
      <c r="BZ237" s="100"/>
    </row>
    <row r="238" spans="1:78" s="97" customFormat="1" ht="40.5" customHeight="1" x14ac:dyDescent="0.25">
      <c r="A238" s="333">
        <v>237</v>
      </c>
      <c r="B238" s="554" t="s">
        <v>1327</v>
      </c>
      <c r="C238" s="554"/>
      <c r="D238" s="226" t="s">
        <v>1556</v>
      </c>
      <c r="E238" s="226" t="s">
        <v>1570</v>
      </c>
      <c r="F238" s="226"/>
      <c r="G238" s="226"/>
      <c r="H238" s="226"/>
      <c r="I238" s="655">
        <v>0.5</v>
      </c>
      <c r="J238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238" s="609">
        <f>Таблица7[[#This Row],[Размер отряда минимум]]*1.25</f>
        <v>62.5</v>
      </c>
      <c r="L238" s="609">
        <f>Таблица7[[#This Row],[Размер отряда норма]]*1.5</f>
        <v>93.75</v>
      </c>
      <c r="M238" s="610">
        <f>Таблица7[[#This Row],[Размер отряда минимум]]*2.5</f>
        <v>125</v>
      </c>
      <c r="N238" s="610"/>
      <c r="O238" s="610"/>
      <c r="P238" s="610"/>
      <c r="Q238" s="610"/>
      <c r="R238" s="96" t="s">
        <v>1093</v>
      </c>
      <c r="S238" s="962" t="s">
        <v>2887</v>
      </c>
      <c r="T238" s="226" t="s">
        <v>976</v>
      </c>
      <c r="U238" s="229" t="s">
        <v>1085</v>
      </c>
      <c r="V238" s="227"/>
      <c r="W238" s="229" t="s">
        <v>1001</v>
      </c>
      <c r="X238" s="320" t="s">
        <v>1696</v>
      </c>
      <c r="Y238" s="320"/>
      <c r="Z238" s="320" t="s">
        <v>1440</v>
      </c>
      <c r="AA238" s="320"/>
      <c r="AB238" s="320"/>
      <c r="AC238" s="320"/>
      <c r="AD238" s="229" t="s">
        <v>985</v>
      </c>
      <c r="AE238" s="229"/>
      <c r="AF238" s="226" t="s">
        <v>991</v>
      </c>
      <c r="AG238" s="226"/>
      <c r="AH238" s="226" t="s">
        <v>985</v>
      </c>
      <c r="AI238" s="226"/>
      <c r="AJ238" s="229" t="s">
        <v>985</v>
      </c>
      <c r="AK238" s="229"/>
      <c r="AL238" s="228" t="s">
        <v>985</v>
      </c>
      <c r="AM238" s="226" t="s">
        <v>977</v>
      </c>
      <c r="AN238" s="226" t="s">
        <v>997</v>
      </c>
      <c r="AO238" s="226"/>
      <c r="AP238" s="96" t="s">
        <v>1096</v>
      </c>
      <c r="AQ238" s="96"/>
      <c r="AS238" s="97">
        <v>1568</v>
      </c>
      <c r="AT238" s="99"/>
      <c r="AU238" s="405">
        <v>4</v>
      </c>
      <c r="AV238" s="405" t="s">
        <v>1828</v>
      </c>
      <c r="AW238" s="405">
        <f>VLOOKUP(Таблица7[[#This Row],[Основное оружие]], Оружие[#All], 2, 0)</f>
        <v>0</v>
      </c>
      <c r="AX238" s="405">
        <f>IF(ISBLANK(Таблица7[[#This Row],[Дополнительное оружие]]),"", VLOOKUP(Таблица7[[#This Row],[Дополнительное оружие]], Оружие[#All], 2, 0))</f>
        <v>4</v>
      </c>
      <c r="AY23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3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3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238" s="405">
        <f>VLOOKUP(Таблица7[[#This Row],[Основное оружие]], Оружие[#All], 3, 0)</f>
        <v>1</v>
      </c>
      <c r="BC238" s="405">
        <f>IF(ISBLANK(Таблица7[[#This Row],[Дополнительное оружие]]),"", VLOOKUP(Таблица7[[#This Row],[Дополнительное оружие]], Оружие[#All], 3, 0))</f>
        <v>3</v>
      </c>
      <c r="BD23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3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3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3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8" s="405">
        <f>Таблица7[[#This Row],[Броня]]+Таблица7[[#This Row],[Щит]]+Таблица7[[#This Row],[навык защиты]]</f>
        <v>6</v>
      </c>
      <c r="BK238" s="1006"/>
      <c r="BL238" s="1006"/>
      <c r="BM238" s="387"/>
      <c r="BN238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38" s="387">
        <v>2</v>
      </c>
      <c r="BP238" s="387">
        <v>1</v>
      </c>
      <c r="BQ238" s="387">
        <v>-1</v>
      </c>
      <c r="BR238" s="387">
        <v>2</v>
      </c>
      <c r="BS238" s="387">
        <v>1</v>
      </c>
      <c r="BT238" s="387">
        <v>8</v>
      </c>
      <c r="BU238" s="984" t="s">
        <v>1840</v>
      </c>
      <c r="BV238" s="984" t="s">
        <v>1844</v>
      </c>
      <c r="BW238" s="387"/>
      <c r="BX238" s="387"/>
      <c r="BY238" s="387"/>
      <c r="BZ238" s="100"/>
    </row>
    <row r="239" spans="1:78" s="97" customFormat="1" ht="40.5" customHeight="1" x14ac:dyDescent="0.25">
      <c r="A239" s="333">
        <v>238</v>
      </c>
      <c r="B239" s="226" t="s">
        <v>1181</v>
      </c>
      <c r="C239" s="226"/>
      <c r="D239" s="226" t="s">
        <v>1556</v>
      </c>
      <c r="E239" s="226" t="s">
        <v>1571</v>
      </c>
      <c r="F239" s="226"/>
      <c r="G239" s="226"/>
      <c r="H239" s="226"/>
      <c r="I239" s="655">
        <v>0.5</v>
      </c>
      <c r="J239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239" s="609">
        <f>Таблица7[[#This Row],[Размер отряда минимум]]*1.25</f>
        <v>62.5</v>
      </c>
      <c r="L239" s="609">
        <f>Таблица7[[#This Row],[Размер отряда норма]]*1.5</f>
        <v>93.75</v>
      </c>
      <c r="M239" s="610">
        <f>Таблица7[[#This Row],[Размер отряда минимум]]*2.5</f>
        <v>125</v>
      </c>
      <c r="N239" s="610"/>
      <c r="O239" s="610"/>
      <c r="P239" s="610"/>
      <c r="Q239" s="610"/>
      <c r="R239" s="96" t="s">
        <v>1093</v>
      </c>
      <c r="S239" s="962" t="s">
        <v>2887</v>
      </c>
      <c r="T239" s="226" t="s">
        <v>976</v>
      </c>
      <c r="U239" s="229" t="s">
        <v>1182</v>
      </c>
      <c r="V239" s="227"/>
      <c r="W239" s="229" t="s">
        <v>1001</v>
      </c>
      <c r="X239" s="320" t="s">
        <v>1696</v>
      </c>
      <c r="Y239" s="320"/>
      <c r="Z239" s="320" t="s">
        <v>1440</v>
      </c>
      <c r="AA239" s="320"/>
      <c r="AB239" s="320"/>
      <c r="AC239" s="320"/>
      <c r="AD239" s="229" t="s">
        <v>1158</v>
      </c>
      <c r="AE239" s="229"/>
      <c r="AF239" s="226" t="s">
        <v>1211</v>
      </c>
      <c r="AG239" s="226"/>
      <c r="AH239" s="226" t="s">
        <v>985</v>
      </c>
      <c r="AI239" s="226"/>
      <c r="AJ239" s="229" t="s">
        <v>985</v>
      </c>
      <c r="AK239" s="229"/>
      <c r="AL239" s="228" t="s">
        <v>985</v>
      </c>
      <c r="AM239" s="226" t="s">
        <v>1183</v>
      </c>
      <c r="AN239" s="226" t="s">
        <v>964</v>
      </c>
      <c r="AO239" s="226"/>
      <c r="AP239" s="96" t="s">
        <v>1096</v>
      </c>
      <c r="AQ239" s="96"/>
      <c r="AS239" s="97">
        <v>1568</v>
      </c>
      <c r="AT239" s="99"/>
      <c r="AU239" s="405">
        <v>5</v>
      </c>
      <c r="AV239" s="405" t="s">
        <v>1827</v>
      </c>
      <c r="AW239" s="405">
        <f>VLOOKUP(Таблица7[[#This Row],[Основное оружие]], Оружие[#All], 2, 0)</f>
        <v>0</v>
      </c>
      <c r="AX239" s="405">
        <f>IF(ISBLANK(Таблица7[[#This Row],[Дополнительное оружие]]),"", VLOOKUP(Таблица7[[#This Row],[Дополнительное оружие]], Оружие[#All], 2, 0))</f>
        <v>4</v>
      </c>
      <c r="AY23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3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3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39" s="405">
        <f>VLOOKUP(Таблица7[[#This Row],[Основное оружие]], Оружие[#All], 3, 0)</f>
        <v>1</v>
      </c>
      <c r="BC239" s="405">
        <f>IF(ISBLANK(Таблица7[[#This Row],[Дополнительное оружие]]),"", VLOOKUP(Таблица7[[#This Row],[Дополнительное оружие]], Оружие[#All], 3, 0))</f>
        <v>3</v>
      </c>
      <c r="BD23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3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3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3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3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3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39" s="405">
        <f>Таблица7[[#This Row],[Броня]]+Таблица7[[#This Row],[Щит]]+Таблица7[[#This Row],[навык защиты]]</f>
        <v>18</v>
      </c>
      <c r="BK239" s="1006"/>
      <c r="BL239" s="1006"/>
      <c r="BM239" s="387"/>
      <c r="BN239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39" s="387">
        <v>2</v>
      </c>
      <c r="BP239" s="387">
        <v>1</v>
      </c>
      <c r="BQ239" s="387">
        <v>-1</v>
      </c>
      <c r="BR239" s="387">
        <v>2</v>
      </c>
      <c r="BS239" s="387">
        <v>1</v>
      </c>
      <c r="BT239" s="387">
        <v>8</v>
      </c>
      <c r="BU239" s="984" t="s">
        <v>1576</v>
      </c>
      <c r="BV239" s="984" t="s">
        <v>1842</v>
      </c>
      <c r="BW239" s="387"/>
      <c r="BX239" s="387"/>
      <c r="BY239" s="387"/>
      <c r="BZ239" s="100"/>
    </row>
    <row r="240" spans="1:78" s="97" customFormat="1" ht="40.5" customHeight="1" x14ac:dyDescent="0.25">
      <c r="A240" s="333">
        <v>239</v>
      </c>
      <c r="B240" s="299" t="s">
        <v>1328</v>
      </c>
      <c r="C240" s="299"/>
      <c r="D240" s="226" t="s">
        <v>1555</v>
      </c>
      <c r="E240" s="226" t="s">
        <v>1570</v>
      </c>
      <c r="F240" s="226"/>
      <c r="G240" s="226"/>
      <c r="H240" s="226"/>
      <c r="I240" s="655">
        <v>0.75</v>
      </c>
      <c r="J240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240" s="609">
        <f>Таблица7[[#This Row],[Размер отряда минимум]]*1.25</f>
        <v>37.5</v>
      </c>
      <c r="L240" s="609">
        <f>Таблица7[[#This Row],[Размер отряда норма]]*1.5</f>
        <v>56.25</v>
      </c>
      <c r="M240" s="610">
        <f>Таблица7[[#This Row],[Размер отряда минимум]]*2.5</f>
        <v>75</v>
      </c>
      <c r="N240" s="610"/>
      <c r="O240" s="610"/>
      <c r="P240" s="610"/>
      <c r="Q240" s="610"/>
      <c r="R240" s="96" t="s">
        <v>1093</v>
      </c>
      <c r="S240" s="962" t="s">
        <v>2887</v>
      </c>
      <c r="T240" s="226" t="s">
        <v>976</v>
      </c>
      <c r="U240" s="229" t="s">
        <v>1139</v>
      </c>
      <c r="V240" s="227"/>
      <c r="W240" s="229" t="s">
        <v>1001</v>
      </c>
      <c r="X240" s="320" t="s">
        <v>1469</v>
      </c>
      <c r="Y240" s="320"/>
      <c r="Z240" s="320" t="s">
        <v>1440</v>
      </c>
      <c r="AA240" s="320"/>
      <c r="AB240" s="320"/>
      <c r="AC240" s="320"/>
      <c r="AD240" s="229" t="s">
        <v>985</v>
      </c>
      <c r="AE240" s="229"/>
      <c r="AF240" s="226" t="s">
        <v>991</v>
      </c>
      <c r="AG240" s="226"/>
      <c r="AH240" s="226" t="s">
        <v>985</v>
      </c>
      <c r="AI240" s="226"/>
      <c r="AJ240" s="229" t="s">
        <v>985</v>
      </c>
      <c r="AK240" s="229"/>
      <c r="AL240" s="228" t="s">
        <v>985</v>
      </c>
      <c r="AM240" s="226" t="s">
        <v>977</v>
      </c>
      <c r="AN240" s="226" t="s">
        <v>1023</v>
      </c>
      <c r="AO240" s="226"/>
      <c r="AP240" s="96" t="s">
        <v>1096</v>
      </c>
      <c r="AQ240" s="96"/>
      <c r="AS240" s="97">
        <v>1568</v>
      </c>
      <c r="AT240" s="99"/>
      <c r="AU240" s="405">
        <v>4</v>
      </c>
      <c r="AV240" s="405" t="s">
        <v>1827</v>
      </c>
      <c r="AW240" s="405">
        <f>VLOOKUP(Таблица7[[#This Row],[Основное оружие]], Оружие[#All], 2, 0)</f>
        <v>0</v>
      </c>
      <c r="AX240" s="405">
        <f>IF(ISBLANK(Таблица7[[#This Row],[Дополнительное оружие]]),"", VLOOKUP(Таблица7[[#This Row],[Дополнительное оружие]], Оружие[#All], 2, 0))</f>
        <v>4</v>
      </c>
      <c r="AY24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4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4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240" s="405">
        <f>VLOOKUP(Таблица7[[#This Row],[Основное оружие]], Оружие[#All], 3, 0)</f>
        <v>1</v>
      </c>
      <c r="BC240" s="405">
        <f>IF(ISBLANK(Таблица7[[#This Row],[Дополнительное оружие]]),"", VLOOKUP(Таблица7[[#This Row],[Дополнительное оружие]], Оружие[#All], 3, 0))</f>
        <v>3</v>
      </c>
      <c r="BD24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4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24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4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4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0" s="405">
        <f>Таблица7[[#This Row],[Броня]]+Таблица7[[#This Row],[Щит]]+Таблица7[[#This Row],[навык защиты]]</f>
        <v>4</v>
      </c>
      <c r="BK240" s="1008" t="s">
        <v>1589</v>
      </c>
      <c r="BL240" s="1008"/>
      <c r="BM240" s="387"/>
      <c r="BN240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40" s="387">
        <v>2</v>
      </c>
      <c r="BP240" s="387">
        <v>-2</v>
      </c>
      <c r="BQ240" s="387">
        <v>0</v>
      </c>
      <c r="BR240" s="387">
        <v>-4</v>
      </c>
      <c r="BS240" s="387">
        <v>-2</v>
      </c>
      <c r="BT240" s="387">
        <v>6</v>
      </c>
      <c r="BU240" s="984" t="s">
        <v>1576</v>
      </c>
      <c r="BV240" s="984" t="s">
        <v>1843</v>
      </c>
      <c r="BW240" s="387"/>
      <c r="BX240" s="387"/>
      <c r="BY240" s="387"/>
      <c r="BZ240" s="100"/>
    </row>
    <row r="241" spans="1:78" s="97" customFormat="1" ht="40.5" customHeight="1" x14ac:dyDescent="0.25">
      <c r="A241" s="333">
        <v>240</v>
      </c>
      <c r="B241" s="299" t="s">
        <v>1329</v>
      </c>
      <c r="C241" s="299"/>
      <c r="D241" s="226" t="s">
        <v>1555</v>
      </c>
      <c r="E241" s="226" t="s">
        <v>1546</v>
      </c>
      <c r="F241" s="226"/>
      <c r="G241" s="226"/>
      <c r="H241" s="226"/>
      <c r="I241" s="655">
        <v>0.75</v>
      </c>
      <c r="J241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241" s="609">
        <f>Таблица7[[#This Row],[Размер отряда минимум]]*1.25</f>
        <v>37.5</v>
      </c>
      <c r="L241" s="609">
        <f>Таблица7[[#This Row],[Размер отряда норма]]*1.5</f>
        <v>56.25</v>
      </c>
      <c r="M241" s="610">
        <f>Таблица7[[#This Row],[Размер отряда минимум]]*2.5</f>
        <v>75</v>
      </c>
      <c r="N241" s="610"/>
      <c r="O241" s="610"/>
      <c r="P241" s="610"/>
      <c r="Q241" s="610"/>
      <c r="R241" s="96" t="s">
        <v>1093</v>
      </c>
      <c r="S241" s="962" t="s">
        <v>2887</v>
      </c>
      <c r="T241" s="226" t="s">
        <v>976</v>
      </c>
      <c r="U241" s="229" t="s">
        <v>1088</v>
      </c>
      <c r="V241" s="227"/>
      <c r="W241" s="226" t="s">
        <v>1001</v>
      </c>
      <c r="X241" s="226" t="s">
        <v>1528</v>
      </c>
      <c r="Y241" s="226"/>
      <c r="Z241" s="226" t="s">
        <v>1440</v>
      </c>
      <c r="AA241" s="226"/>
      <c r="AB241" s="226"/>
      <c r="AC241" s="226"/>
      <c r="AD241" s="229" t="s">
        <v>985</v>
      </c>
      <c r="AE241" s="229"/>
      <c r="AF241" s="226" t="s">
        <v>991</v>
      </c>
      <c r="AG241" s="226"/>
      <c r="AH241" s="226" t="s">
        <v>985</v>
      </c>
      <c r="AI241" s="226"/>
      <c r="AJ241" s="229" t="s">
        <v>985</v>
      </c>
      <c r="AK241" s="229"/>
      <c r="AL241" s="228" t="s">
        <v>985</v>
      </c>
      <c r="AM241" s="226" t="s">
        <v>977</v>
      </c>
      <c r="AN241" s="226" t="s">
        <v>1023</v>
      </c>
      <c r="AO241" s="226"/>
      <c r="AP241" s="96" t="s">
        <v>1096</v>
      </c>
      <c r="AQ241" s="96"/>
      <c r="AS241" s="97">
        <v>1568</v>
      </c>
      <c r="AT241" s="99"/>
      <c r="AU241" s="405">
        <v>5</v>
      </c>
      <c r="AV241" s="405"/>
      <c r="AW241" s="405">
        <f>VLOOKUP(Таблица7[[#This Row],[Основное оружие]], Оружие[#All], 2, 0)</f>
        <v>2</v>
      </c>
      <c r="AX241" s="405">
        <f>IF(ISBLANK(Таблица7[[#This Row],[Дополнительное оружие]]),"", VLOOKUP(Таблица7[[#This Row],[Дополнительное оружие]], Оружие[#All], 2, 0))</f>
        <v>4</v>
      </c>
      <c r="AY24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24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24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241" s="405">
        <f>VLOOKUP(Таблица7[[#This Row],[Основное оружие]], Оружие[#All], 3, 0)</f>
        <v>6</v>
      </c>
      <c r="BC241" s="405">
        <f>IF(ISBLANK(Таблица7[[#This Row],[Дополнительное оружие]]),"", VLOOKUP(Таблица7[[#This Row],[Дополнительное оружие]], Оружие[#All], 3, 0))</f>
        <v>3</v>
      </c>
      <c r="BD24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4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24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4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4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1" s="405">
        <f>Таблица7[[#This Row],[Броня]]+Таблица7[[#This Row],[Щит]]+Таблица7[[#This Row],[навык защиты]]</f>
        <v>5</v>
      </c>
      <c r="BK241" s="1008" t="s">
        <v>1589</v>
      </c>
      <c r="BL241" s="1008"/>
      <c r="BM241" s="387"/>
      <c r="BN241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41" s="387">
        <v>2</v>
      </c>
      <c r="BP241" s="387">
        <v>-2</v>
      </c>
      <c r="BQ241" s="387">
        <v>0</v>
      </c>
      <c r="BR241" s="387">
        <v>-4</v>
      </c>
      <c r="BS241" s="387">
        <v>-2</v>
      </c>
      <c r="BT241" s="387">
        <v>9</v>
      </c>
      <c r="BU241" s="984" t="s">
        <v>1576</v>
      </c>
      <c r="BV241" s="984" t="s">
        <v>1843</v>
      </c>
      <c r="BW241" s="387"/>
      <c r="BX241" s="387"/>
      <c r="BY241" s="387"/>
      <c r="BZ241" s="100"/>
    </row>
    <row r="242" spans="1:78" s="97" customFormat="1" ht="40.5" customHeight="1" x14ac:dyDescent="0.25">
      <c r="A242" s="333">
        <v>241</v>
      </c>
      <c r="B242" s="299" t="s">
        <v>1330</v>
      </c>
      <c r="C242" s="299"/>
      <c r="D242" s="226" t="s">
        <v>1555</v>
      </c>
      <c r="E242" s="226" t="s">
        <v>1547</v>
      </c>
      <c r="F242" s="226"/>
      <c r="G242" s="226"/>
      <c r="H242" s="226"/>
      <c r="I242" s="655">
        <v>0.9</v>
      </c>
      <c r="J242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242" s="609">
        <f>Таблица7[[#This Row],[Размер отряда минимум]]*1.25</f>
        <v>22.5</v>
      </c>
      <c r="L242" s="609">
        <f>Таблица7[[#This Row],[Размер отряда норма]]*1.5</f>
        <v>33.75</v>
      </c>
      <c r="M242" s="610">
        <f>Таблица7[[#This Row],[Размер отряда минимум]]*2.5</f>
        <v>45</v>
      </c>
      <c r="N242" s="610"/>
      <c r="O242" s="610"/>
      <c r="P242" s="610"/>
      <c r="Q242" s="610"/>
      <c r="R242" s="96" t="s">
        <v>1093</v>
      </c>
      <c r="S242" s="962" t="s">
        <v>2887</v>
      </c>
      <c r="T242" s="96" t="s">
        <v>975</v>
      </c>
      <c r="U242" s="468" t="s">
        <v>1003</v>
      </c>
      <c r="V242" s="101"/>
      <c r="W242" s="468" t="s">
        <v>1001</v>
      </c>
      <c r="X242" s="96" t="s">
        <v>1528</v>
      </c>
      <c r="Y242" s="96"/>
      <c r="Z242" s="96" t="s">
        <v>1512</v>
      </c>
      <c r="AA242" s="96"/>
      <c r="AB242" s="96"/>
      <c r="AC242" s="96"/>
      <c r="AD242" s="468" t="s">
        <v>1002</v>
      </c>
      <c r="AE242" s="468"/>
      <c r="AF242" s="167" t="s">
        <v>985</v>
      </c>
      <c r="AG242" s="167"/>
      <c r="AH242" s="167" t="s">
        <v>985</v>
      </c>
      <c r="AI242" s="167"/>
      <c r="AJ242" s="102" t="s">
        <v>1004</v>
      </c>
      <c r="AK242" s="102"/>
      <c r="AL242" s="217" t="s">
        <v>1163</v>
      </c>
      <c r="AM242" s="102" t="s">
        <v>977</v>
      </c>
      <c r="AN242" s="102" t="s">
        <v>999</v>
      </c>
      <c r="AO242" s="102"/>
      <c r="AP242" s="96" t="s">
        <v>1096</v>
      </c>
      <c r="AQ242" s="96"/>
      <c r="AS242" s="97">
        <v>1500</v>
      </c>
      <c r="AT242" s="99">
        <v>1564</v>
      </c>
      <c r="AU242" s="405">
        <v>9</v>
      </c>
      <c r="AV242" s="405"/>
      <c r="AW242" s="405">
        <f>VLOOKUP(Таблица7[[#This Row],[Основное оружие]], Оружие[#All], 2, 0)</f>
        <v>2</v>
      </c>
      <c r="AX242" s="405">
        <f>IF(ISBLANK(Таблица7[[#This Row],[Дополнительное оружие]]),"", VLOOKUP(Таблица7[[#This Row],[Дополнительное оружие]], Оружие[#All], 2, 0))</f>
        <v>4</v>
      </c>
      <c r="AY24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24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24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242" s="405">
        <f>VLOOKUP(Таблица7[[#This Row],[Основное оружие]], Оружие[#All], 3, 0)</f>
        <v>6</v>
      </c>
      <c r="BC242" s="405">
        <f>IF(ISBLANK(Таблица7[[#This Row],[Дополнительное оружие]]),"", VLOOKUP(Таблица7[[#This Row],[Дополнительное оружие]], Оружие[#All], 3, 0))</f>
        <v>6</v>
      </c>
      <c r="BD24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24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4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4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24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2" s="405">
        <f>Таблица7[[#This Row],[Броня]]+Таблица7[[#This Row],[Щит]]+Таблица7[[#This Row],[навык защиты]]</f>
        <v>26</v>
      </c>
      <c r="BK242" s="1006"/>
      <c r="BL242" s="1006"/>
      <c r="BM242" s="387"/>
      <c r="BN242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42" s="387">
        <v>2</v>
      </c>
      <c r="BP242" s="387">
        <v>-2</v>
      </c>
      <c r="BQ242" s="387">
        <v>0</v>
      </c>
      <c r="BR242" s="387">
        <v>-4</v>
      </c>
      <c r="BS242" s="387">
        <v>-2</v>
      </c>
      <c r="BT242" s="387">
        <v>11</v>
      </c>
      <c r="BU242" s="984" t="s">
        <v>1840</v>
      </c>
      <c r="BV242" s="984" t="s">
        <v>1844</v>
      </c>
      <c r="BW242" s="387"/>
      <c r="BX242" s="387"/>
      <c r="BY242" s="387"/>
      <c r="BZ242" s="100"/>
    </row>
    <row r="243" spans="1:78" s="97" customFormat="1" ht="40.5" customHeight="1" x14ac:dyDescent="0.25">
      <c r="A243" s="333">
        <v>242</v>
      </c>
      <c r="B243" s="299" t="s">
        <v>1331</v>
      </c>
      <c r="C243" s="299"/>
      <c r="D243" s="226" t="s">
        <v>1555</v>
      </c>
      <c r="E243" s="226" t="s">
        <v>1547</v>
      </c>
      <c r="F243" s="226"/>
      <c r="G243" s="226"/>
      <c r="H243" s="226"/>
      <c r="I243" s="655">
        <v>0.9</v>
      </c>
      <c r="J243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21.6</v>
      </c>
      <c r="K243" s="609">
        <f>Таблица7[[#This Row],[Размер отряда минимум]]*1.25</f>
        <v>27</v>
      </c>
      <c r="L243" s="609">
        <f>Таблица7[[#This Row],[Размер отряда норма]]*1.5</f>
        <v>40.5</v>
      </c>
      <c r="M243" s="610">
        <f>Таблица7[[#This Row],[Размер отряда минимум]]*2.5</f>
        <v>54</v>
      </c>
      <c r="N243" s="610"/>
      <c r="O243" s="610"/>
      <c r="P243" s="610"/>
      <c r="Q243" s="610"/>
      <c r="R243" s="96" t="s">
        <v>1093</v>
      </c>
      <c r="S243" s="962" t="s">
        <v>2887</v>
      </c>
      <c r="T243" s="96" t="s">
        <v>976</v>
      </c>
      <c r="U243" s="468" t="s">
        <v>1003</v>
      </c>
      <c r="V243" s="101"/>
      <c r="W243" s="468" t="s">
        <v>1001</v>
      </c>
      <c r="X243" s="768" t="s">
        <v>1950</v>
      </c>
      <c r="Y243" s="102"/>
      <c r="Z243" s="102" t="s">
        <v>1440</v>
      </c>
      <c r="AA243" s="102"/>
      <c r="AB243" s="102"/>
      <c r="AC243" s="102"/>
      <c r="AD243" s="468" t="s">
        <v>1481</v>
      </c>
      <c r="AE243" s="468"/>
      <c r="AF243" s="167" t="s">
        <v>985</v>
      </c>
      <c r="AG243" s="167"/>
      <c r="AH243" s="167" t="s">
        <v>985</v>
      </c>
      <c r="AI243" s="167"/>
      <c r="AJ243" s="102" t="s">
        <v>1005</v>
      </c>
      <c r="AK243" s="102"/>
      <c r="AL243" s="217" t="s">
        <v>985</v>
      </c>
      <c r="AM243" s="102" t="s">
        <v>977</v>
      </c>
      <c r="AN243" s="102" t="s">
        <v>999</v>
      </c>
      <c r="AO243" s="102"/>
      <c r="AP243" s="96" t="s">
        <v>1096</v>
      </c>
      <c r="AQ243" s="96"/>
      <c r="AS243" s="97">
        <v>1564</v>
      </c>
      <c r="AT243" s="99"/>
      <c r="AU243" s="405">
        <v>9</v>
      </c>
      <c r="AV243" s="405" t="s">
        <v>1827</v>
      </c>
      <c r="AW243" s="405">
        <f>VLOOKUP(Таблица7[[#This Row],[Основное оружие]], Оружие[#All], 2, 0)</f>
        <v>0</v>
      </c>
      <c r="AX243" s="405">
        <f>IF(ISBLANK(Таблица7[[#This Row],[Дополнительное оружие]]),"", VLOOKUP(Таблица7[[#This Row],[Дополнительное оружие]], Оружие[#All], 2, 0))</f>
        <v>4</v>
      </c>
      <c r="AY24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24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4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243" s="405">
        <f>VLOOKUP(Таблица7[[#This Row],[Основное оружие]], Оружие[#All], 3, 0)</f>
        <v>1</v>
      </c>
      <c r="BC243" s="405">
        <f>IF(ISBLANK(Таблица7[[#This Row],[Дополнительное оружие]]),"", VLOOKUP(Таблица7[[#This Row],[Дополнительное оружие]], Оружие[#All], 3, 0))</f>
        <v>3</v>
      </c>
      <c r="BD24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24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4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24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24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3" s="405">
        <f>Таблица7[[#This Row],[Броня]]+Таблица7[[#This Row],[Щит]]+Таблица7[[#This Row],[навык защиты]]</f>
        <v>23</v>
      </c>
      <c r="BK243" s="1006"/>
      <c r="BL243" s="1006"/>
      <c r="BM243" s="387"/>
      <c r="BN243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43" s="387">
        <v>2</v>
      </c>
      <c r="BP243" s="387">
        <v>-2</v>
      </c>
      <c r="BQ243" s="387">
        <v>0</v>
      </c>
      <c r="BR243" s="387">
        <v>-4</v>
      </c>
      <c r="BS243" s="387">
        <v>-2</v>
      </c>
      <c r="BT243" s="387">
        <v>11</v>
      </c>
      <c r="BU243" s="984" t="s">
        <v>1840</v>
      </c>
      <c r="BV243" s="984" t="s">
        <v>1844</v>
      </c>
      <c r="BW243" s="387"/>
      <c r="BX243" s="387"/>
      <c r="BY243" s="387"/>
      <c r="BZ243" s="100"/>
    </row>
    <row r="244" spans="1:78" s="97" customFormat="1" ht="40.5" customHeight="1" x14ac:dyDescent="0.25">
      <c r="A244" s="333">
        <v>243</v>
      </c>
      <c r="B244" s="299" t="s">
        <v>1332</v>
      </c>
      <c r="C244" s="299"/>
      <c r="D244" s="226" t="s">
        <v>1555</v>
      </c>
      <c r="E244" s="226" t="s">
        <v>1547</v>
      </c>
      <c r="F244" s="226"/>
      <c r="G244" s="226"/>
      <c r="H244" s="226"/>
      <c r="I244" s="655">
        <v>0.5</v>
      </c>
      <c r="J244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244" s="609">
        <f>Таблица7[[#This Row],[Размер отряда минимум]]*1.25</f>
        <v>12.5</v>
      </c>
      <c r="L244" s="609">
        <f>Таблица7[[#This Row],[Размер отряда норма]]*1.5</f>
        <v>18.75</v>
      </c>
      <c r="M244" s="610">
        <f>Таблица7[[#This Row],[Размер отряда минимум]]*2.5</f>
        <v>25</v>
      </c>
      <c r="N244" s="610"/>
      <c r="O244" s="610"/>
      <c r="P244" s="610"/>
      <c r="Q244" s="610"/>
      <c r="R244" s="96" t="s">
        <v>1093</v>
      </c>
      <c r="S244" s="962" t="s">
        <v>2887</v>
      </c>
      <c r="T244" s="96" t="s">
        <v>975</v>
      </c>
      <c r="U244" s="468" t="s">
        <v>1007</v>
      </c>
      <c r="V244" s="101"/>
      <c r="W244" s="96" t="s">
        <v>1001</v>
      </c>
      <c r="X244" s="96" t="s">
        <v>1528</v>
      </c>
      <c r="Y244" s="96"/>
      <c r="Z244" s="96" t="s">
        <v>1036</v>
      </c>
      <c r="AA244" s="96"/>
      <c r="AB244" s="96"/>
      <c r="AC244" s="96"/>
      <c r="AD244" s="182" t="s">
        <v>1004</v>
      </c>
      <c r="AE244" s="182"/>
      <c r="AF244" s="96" t="s">
        <v>985</v>
      </c>
      <c r="AG244" s="96"/>
      <c r="AH244" s="96" t="s">
        <v>985</v>
      </c>
      <c r="AI244" s="96"/>
      <c r="AJ244" s="96" t="s">
        <v>985</v>
      </c>
      <c r="AK244" s="96"/>
      <c r="AL244" s="217" t="s">
        <v>1163</v>
      </c>
      <c r="AM244" s="96" t="s">
        <v>935</v>
      </c>
      <c r="AN244" s="96" t="s">
        <v>952</v>
      </c>
      <c r="AO244" s="96"/>
      <c r="AP244" s="96" t="s">
        <v>952</v>
      </c>
      <c r="AQ244" s="96"/>
      <c r="AR244" s="96"/>
      <c r="AS244" s="96">
        <v>1500</v>
      </c>
      <c r="AT244" s="99">
        <v>1565</v>
      </c>
      <c r="AU244" s="405">
        <v>10</v>
      </c>
      <c r="AV244" s="405"/>
      <c r="AW244" s="405">
        <f>VLOOKUP(Таблица7[[#This Row],[Основное оружие]], Оружие[#All], 2, 0)</f>
        <v>2</v>
      </c>
      <c r="AX244" s="405">
        <f>IF(ISBLANK(Таблица7[[#This Row],[Дополнительное оружие]]),"", VLOOKUP(Таблица7[[#This Row],[Дополнительное оружие]], Оружие[#All], 2, 0))</f>
        <v>5</v>
      </c>
      <c r="AY24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4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4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244" s="405">
        <f>VLOOKUP(Таблица7[[#This Row],[Основное оружие]], Оружие[#All], 3, 0)</f>
        <v>6</v>
      </c>
      <c r="BC244" s="405">
        <f>IF(ISBLANK(Таблица7[[#This Row],[Дополнительное оружие]]),"", VLOOKUP(Таблица7[[#This Row],[Дополнительное оружие]], Оружие[#All], 3, 0))</f>
        <v>3</v>
      </c>
      <c r="BD24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24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4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4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4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4" s="405">
        <f>Таблица7[[#This Row],[Броня]]+Таблица7[[#This Row],[Щит]]+Таблица7[[#This Row],[навык защиты]]</f>
        <v>29</v>
      </c>
      <c r="BK244" s="1006"/>
      <c r="BL244" s="1006"/>
      <c r="BM244" s="387"/>
      <c r="BN244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44" s="387">
        <v>2</v>
      </c>
      <c r="BP244" s="387">
        <v>-2</v>
      </c>
      <c r="BQ244" s="387">
        <v>0</v>
      </c>
      <c r="BR244" s="387">
        <v>-4</v>
      </c>
      <c r="BS244" s="387">
        <v>-2</v>
      </c>
      <c r="BT244" s="387">
        <v>11</v>
      </c>
      <c r="BU244" s="984" t="s">
        <v>1840</v>
      </c>
      <c r="BV244" s="984" t="s">
        <v>1844</v>
      </c>
      <c r="BW244" s="387"/>
      <c r="BX244" s="387"/>
      <c r="BY244" s="387"/>
      <c r="BZ244" s="100"/>
    </row>
    <row r="245" spans="1:78" s="97" customFormat="1" ht="40.5" customHeight="1" x14ac:dyDescent="0.25">
      <c r="A245" s="333">
        <v>244</v>
      </c>
      <c r="B245" s="299" t="s">
        <v>1332</v>
      </c>
      <c r="C245" s="299"/>
      <c r="D245" s="226" t="s">
        <v>1555</v>
      </c>
      <c r="E245" s="226" t="s">
        <v>1547</v>
      </c>
      <c r="F245" s="226"/>
      <c r="G245" s="226"/>
      <c r="H245" s="226"/>
      <c r="I245" s="655">
        <v>0.5</v>
      </c>
      <c r="J245" s="60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245" s="609">
        <f>Таблица7[[#This Row],[Размер отряда минимум]]*1.25</f>
        <v>15</v>
      </c>
      <c r="L245" s="609">
        <f>Таблица7[[#This Row],[Размер отряда норма]]*1.5</f>
        <v>22.5</v>
      </c>
      <c r="M245" s="610">
        <f>Таблица7[[#This Row],[Размер отряда минимум]]*2.5</f>
        <v>30</v>
      </c>
      <c r="N245" s="610"/>
      <c r="O245" s="610"/>
      <c r="P245" s="610"/>
      <c r="Q245" s="610"/>
      <c r="R245" s="96" t="s">
        <v>1093</v>
      </c>
      <c r="S245" s="962" t="s">
        <v>2887</v>
      </c>
      <c r="T245" s="96" t="s">
        <v>976</v>
      </c>
      <c r="U245" s="468" t="s">
        <v>1007</v>
      </c>
      <c r="V245" s="101"/>
      <c r="W245" s="96" t="s">
        <v>1001</v>
      </c>
      <c r="X245" s="768" t="s">
        <v>1950</v>
      </c>
      <c r="Y245" s="96"/>
      <c r="Z245" s="96" t="s">
        <v>1440</v>
      </c>
      <c r="AA245" s="96"/>
      <c r="AB245" s="96"/>
      <c r="AC245" s="96"/>
      <c r="AD245" s="182" t="s">
        <v>1005</v>
      </c>
      <c r="AE245" s="182"/>
      <c r="AF245" s="96" t="s">
        <v>985</v>
      </c>
      <c r="AG245" s="96"/>
      <c r="AH245" s="96" t="s">
        <v>985</v>
      </c>
      <c r="AI245" s="96"/>
      <c r="AJ245" s="96" t="s">
        <v>985</v>
      </c>
      <c r="AK245" s="96"/>
      <c r="AL245" s="217" t="s">
        <v>985</v>
      </c>
      <c r="AM245" s="96" t="s">
        <v>935</v>
      </c>
      <c r="AN245" s="96" t="s">
        <v>952</v>
      </c>
      <c r="AO245" s="96"/>
      <c r="AP245" s="96" t="s">
        <v>952</v>
      </c>
      <c r="AQ245" s="96"/>
      <c r="AR245" s="96"/>
      <c r="AS245" s="96">
        <v>1565</v>
      </c>
      <c r="AT245" s="99"/>
      <c r="AU245" s="405">
        <v>10</v>
      </c>
      <c r="AV245" s="405" t="s">
        <v>1828</v>
      </c>
      <c r="AW245" s="405">
        <f>VLOOKUP(Таблица7[[#This Row],[Основное оружие]], Оружие[#All], 2, 0)</f>
        <v>0</v>
      </c>
      <c r="AX245" s="405">
        <f>IF(ISBLANK(Таблица7[[#This Row],[Дополнительное оружие]]),"", VLOOKUP(Таблица7[[#This Row],[Дополнительное оружие]], Оружие[#All], 2, 0))</f>
        <v>4</v>
      </c>
      <c r="AY24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4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4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45" s="405">
        <f>VLOOKUP(Таблица7[[#This Row],[Основное оружие]], Оружие[#All], 3, 0)</f>
        <v>1</v>
      </c>
      <c r="BC245" s="405">
        <f>IF(ISBLANK(Таблица7[[#This Row],[Дополнительное оружие]]),"", VLOOKUP(Таблица7[[#This Row],[Дополнительное оружие]], Оружие[#All], 3, 0))</f>
        <v>3</v>
      </c>
      <c r="BD24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24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4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4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4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5" s="405">
        <f>Таблица7[[#This Row],[Броня]]+Таблица7[[#This Row],[Щит]]+Таблица7[[#This Row],[навык защиты]]</f>
        <v>28</v>
      </c>
      <c r="BK245" s="1006"/>
      <c r="BL245" s="1006"/>
      <c r="BM245" s="387"/>
      <c r="BN245" s="98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45" s="387">
        <v>2</v>
      </c>
      <c r="BP245" s="387">
        <v>-2</v>
      </c>
      <c r="BQ245" s="387">
        <v>0</v>
      </c>
      <c r="BR245" s="387">
        <v>-4</v>
      </c>
      <c r="BS245" s="387">
        <v>-2</v>
      </c>
      <c r="BT245" s="387">
        <v>11</v>
      </c>
      <c r="BU245" s="984" t="s">
        <v>1840</v>
      </c>
      <c r="BV245" s="984" t="s">
        <v>1844</v>
      </c>
      <c r="BW245" s="387"/>
      <c r="BX245" s="387"/>
      <c r="BY245" s="387"/>
      <c r="BZ245" s="100"/>
    </row>
    <row r="246" spans="1:78" s="104" customFormat="1" ht="40.5" customHeight="1" x14ac:dyDescent="0.25">
      <c r="A246" s="333">
        <v>245</v>
      </c>
      <c r="B246" s="300" t="s">
        <v>1333</v>
      </c>
      <c r="C246" s="913" t="s">
        <v>2703</v>
      </c>
      <c r="D246" s="103" t="s">
        <v>1556</v>
      </c>
      <c r="E246" s="103" t="s">
        <v>1546</v>
      </c>
      <c r="F246" s="103"/>
      <c r="G246" s="103"/>
      <c r="H246" s="103"/>
      <c r="I246" s="656">
        <v>1</v>
      </c>
      <c r="J246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46" s="611">
        <f>Таблица7[[#This Row],[Размер отряда минимум]]*1.25</f>
        <v>112.5</v>
      </c>
      <c r="L246" s="611">
        <f>Таблица7[[#This Row],[Размер отряда норма]]*1.5</f>
        <v>168.75</v>
      </c>
      <c r="M246" s="612">
        <f>Таблица7[[#This Row],[Размер отряда минимум]]*2.5</f>
        <v>225</v>
      </c>
      <c r="N246" s="612"/>
      <c r="O246" s="612"/>
      <c r="P246" s="612"/>
      <c r="Q246" s="612"/>
      <c r="R246" s="104" t="s">
        <v>15</v>
      </c>
      <c r="S246" s="913" t="s">
        <v>2696</v>
      </c>
      <c r="T246" s="103" t="s">
        <v>975</v>
      </c>
      <c r="U246" s="914" t="s">
        <v>2697</v>
      </c>
      <c r="V246" s="915" t="s">
        <v>2700</v>
      </c>
      <c r="W246" s="103" t="s">
        <v>984</v>
      </c>
      <c r="X246" s="103" t="s">
        <v>1036</v>
      </c>
      <c r="Y246" s="913" t="s">
        <v>1929</v>
      </c>
      <c r="Z246" s="103"/>
      <c r="AA246" s="103"/>
      <c r="AB246" s="103"/>
      <c r="AC246" s="103"/>
      <c r="AD246" s="183" t="s">
        <v>985</v>
      </c>
      <c r="AE246" s="183"/>
      <c r="AF246" s="103" t="s">
        <v>985</v>
      </c>
      <c r="AG246" s="103"/>
      <c r="AH246" s="103" t="s">
        <v>985</v>
      </c>
      <c r="AI246" s="103"/>
      <c r="AJ246" s="183" t="s">
        <v>985</v>
      </c>
      <c r="AK246" s="183"/>
      <c r="AL246" s="201" t="s">
        <v>985</v>
      </c>
      <c r="AM246" s="103" t="s">
        <v>935</v>
      </c>
      <c r="AN246" s="913" t="s">
        <v>1906</v>
      </c>
      <c r="AO246" s="913" t="s">
        <v>1905</v>
      </c>
      <c r="AP246" s="913" t="s">
        <v>952</v>
      </c>
      <c r="AQ246" s="913" t="s">
        <v>1871</v>
      </c>
      <c r="AS246" s="104">
        <v>1500</v>
      </c>
      <c r="AT246" s="105">
        <v>1550</v>
      </c>
      <c r="AU246" s="405">
        <v>1</v>
      </c>
      <c r="AV246" s="405"/>
      <c r="AW246" s="405">
        <f>VLOOKUP(Таблица7[[#This Row],[Основное оружие]], Оружие[#All], 2, 0)</f>
        <v>5</v>
      </c>
      <c r="AX246" s="405" t="str">
        <f>IF(ISBLANK(Таблица7[[#This Row],[Дополнительное оружие]]),"", VLOOKUP(Таблица7[[#This Row],[Дополнительное оружие]], Оружие[#All], 2, 0))</f>
        <v/>
      </c>
      <c r="AY24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4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24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46" s="405">
        <f>VLOOKUP(Таблица7[[#This Row],[Основное оружие]], Оружие[#All], 3, 0)</f>
        <v>3</v>
      </c>
      <c r="BC246" s="405" t="str">
        <f>IF(ISBLANK(Таблица7[[#This Row],[Дополнительное оружие]]),"", VLOOKUP(Таблица7[[#This Row],[Дополнительное оружие]], Оружие[#All], 3, 0))</f>
        <v/>
      </c>
      <c r="BD24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4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4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4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4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6" s="405">
        <f>Таблица7[[#This Row],[Броня]]+Таблица7[[#This Row],[Щит]]+Таблица7[[#This Row],[навык защиты]]</f>
        <v>3</v>
      </c>
      <c r="BK246" s="1006"/>
      <c r="BL246" s="1006"/>
      <c r="BM246" s="388"/>
      <c r="BN246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46" s="388">
        <v>2</v>
      </c>
      <c r="BP246" s="388">
        <v>1</v>
      </c>
      <c r="BQ246" s="388">
        <v>-1</v>
      </c>
      <c r="BR246" s="388">
        <v>2</v>
      </c>
      <c r="BS246" s="388">
        <v>1</v>
      </c>
      <c r="BT246" s="388">
        <v>2</v>
      </c>
      <c r="BU246" s="985" t="s">
        <v>1839</v>
      </c>
      <c r="BV246" s="985" t="s">
        <v>1842</v>
      </c>
      <c r="BW246" s="388"/>
      <c r="BX246" s="388"/>
      <c r="BY246" s="388"/>
      <c r="BZ246" s="106"/>
    </row>
    <row r="247" spans="1:78" s="104" customFormat="1" ht="40.5" customHeight="1" x14ac:dyDescent="0.25">
      <c r="A247" s="333">
        <v>246</v>
      </c>
      <c r="B247" s="300" t="s">
        <v>1334</v>
      </c>
      <c r="C247" s="913" t="s">
        <v>2704</v>
      </c>
      <c r="D247" s="103" t="s">
        <v>1556</v>
      </c>
      <c r="E247" s="103" t="s">
        <v>1570</v>
      </c>
      <c r="F247" s="103"/>
      <c r="G247" s="103"/>
      <c r="H247" s="103"/>
      <c r="I247" s="656">
        <v>1</v>
      </c>
      <c r="J247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247" s="611">
        <f>Таблица7[[#This Row],[Размер отряда минимум]]*1.25</f>
        <v>125</v>
      </c>
      <c r="L247" s="611">
        <f>Таблица7[[#This Row],[Размер отряда норма]]*1.5</f>
        <v>187.5</v>
      </c>
      <c r="M247" s="612">
        <f>Таблица7[[#This Row],[Размер отряда минимум]]*2.5</f>
        <v>250</v>
      </c>
      <c r="N247" s="612"/>
      <c r="O247" s="612"/>
      <c r="P247" s="612"/>
      <c r="Q247" s="612"/>
      <c r="R247" s="104" t="s">
        <v>15</v>
      </c>
      <c r="S247" s="913" t="s">
        <v>2696</v>
      </c>
      <c r="T247" s="103" t="s">
        <v>976</v>
      </c>
      <c r="U247" s="914" t="s">
        <v>2705</v>
      </c>
      <c r="V247" s="915" t="s">
        <v>2706</v>
      </c>
      <c r="W247" s="183" t="s">
        <v>984</v>
      </c>
      <c r="X247" s="103" t="s">
        <v>1693</v>
      </c>
      <c r="Y247" s="913" t="s">
        <v>1948</v>
      </c>
      <c r="Z247" s="103" t="s">
        <v>1435</v>
      </c>
      <c r="AA247" s="913" t="s">
        <v>1930</v>
      </c>
      <c r="AB247" s="103"/>
      <c r="AC247" s="103"/>
      <c r="AD247" s="183" t="s">
        <v>985</v>
      </c>
      <c r="AE247" s="183"/>
      <c r="AF247" s="103" t="s">
        <v>985</v>
      </c>
      <c r="AG247" s="103"/>
      <c r="AH247" s="103" t="s">
        <v>985</v>
      </c>
      <c r="AI247" s="103"/>
      <c r="AJ247" s="183" t="s">
        <v>985</v>
      </c>
      <c r="AK247" s="183"/>
      <c r="AL247" s="201" t="s">
        <v>985</v>
      </c>
      <c r="AM247" s="103" t="s">
        <v>935</v>
      </c>
      <c r="AN247" s="913" t="s">
        <v>1906</v>
      </c>
      <c r="AO247" s="913" t="s">
        <v>1905</v>
      </c>
      <c r="AP247" s="913" t="s">
        <v>952</v>
      </c>
      <c r="AQ247" s="913" t="s">
        <v>1871</v>
      </c>
      <c r="AS247" s="104">
        <v>1550</v>
      </c>
      <c r="AT247" s="105"/>
      <c r="AU247" s="405">
        <v>1</v>
      </c>
      <c r="AV247" s="405" t="s">
        <v>1826</v>
      </c>
      <c r="AW247" s="405">
        <f>VLOOKUP(Таблица7[[#This Row],[Основное оружие]], Оружие[#All], 2, 0)</f>
        <v>0</v>
      </c>
      <c r="AX247" s="405">
        <f>IF(ISBLANK(Таблица7[[#This Row],[Дополнительное оружие]]),"", VLOOKUP(Таблица7[[#This Row],[Дополнительное оружие]], Оружие[#All], 2, 0))</f>
        <v>1</v>
      </c>
      <c r="AY24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4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4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4</v>
      </c>
      <c r="BB247" s="405">
        <f>VLOOKUP(Таблица7[[#This Row],[Основное оружие]], Оружие[#All], 3, 0)</f>
        <v>1</v>
      </c>
      <c r="BC247" s="405">
        <f>IF(ISBLANK(Таблица7[[#This Row],[Дополнительное оружие]]),"", VLOOKUP(Таблица7[[#This Row],[Дополнительное оружие]], Оружие[#All], 3, 0))</f>
        <v>1</v>
      </c>
      <c r="BD24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4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4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4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4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7" s="405">
        <f>Таблица7[[#This Row],[Броня]]+Таблица7[[#This Row],[Щит]]+Таблица7[[#This Row],[навык защиты]]</f>
        <v>3</v>
      </c>
      <c r="BK247" s="1006"/>
      <c r="BL247" s="1006"/>
      <c r="BM247" s="388"/>
      <c r="BN247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47" s="388">
        <v>2</v>
      </c>
      <c r="BP247" s="388">
        <v>1</v>
      </c>
      <c r="BQ247" s="388">
        <v>-1</v>
      </c>
      <c r="BR247" s="388">
        <v>2</v>
      </c>
      <c r="BS247" s="388">
        <v>1</v>
      </c>
      <c r="BT247" s="388">
        <v>2</v>
      </c>
      <c r="BU247" s="985" t="s">
        <v>1839</v>
      </c>
      <c r="BV247" s="985" t="s">
        <v>1842</v>
      </c>
      <c r="BW247" s="388"/>
      <c r="BX247" s="388"/>
      <c r="BY247" s="388"/>
      <c r="BZ247" s="106"/>
    </row>
    <row r="248" spans="1:78" s="104" customFormat="1" ht="40.5" customHeight="1" x14ac:dyDescent="0.25">
      <c r="A248" s="333">
        <v>247</v>
      </c>
      <c r="B248" s="913" t="s">
        <v>2707</v>
      </c>
      <c r="C248" s="913" t="s">
        <v>2708</v>
      </c>
      <c r="D248" s="103" t="s">
        <v>1556</v>
      </c>
      <c r="E248" s="103" t="s">
        <v>1560</v>
      </c>
      <c r="F248" s="103"/>
      <c r="G248" s="103"/>
      <c r="H248" s="103"/>
      <c r="I248" s="656">
        <v>0.7</v>
      </c>
      <c r="J248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62.999999999999993</v>
      </c>
      <c r="K248" s="611">
        <f>Таблица7[[#This Row],[Размер отряда минимум]]*1.25</f>
        <v>78.749999999999986</v>
      </c>
      <c r="L248" s="611">
        <f>Таблица7[[#This Row],[Размер отряда норма]]*1.5</f>
        <v>118.12499999999997</v>
      </c>
      <c r="M248" s="612">
        <f>Таблица7[[#This Row],[Размер отряда минимум]]*2.5</f>
        <v>157.49999999999997</v>
      </c>
      <c r="N248" s="612"/>
      <c r="O248" s="612"/>
      <c r="P248" s="612"/>
      <c r="Q248" s="612"/>
      <c r="R248" s="104" t="s">
        <v>15</v>
      </c>
      <c r="S248" s="913" t="s">
        <v>2696</v>
      </c>
      <c r="T248" s="103" t="s">
        <v>975</v>
      </c>
      <c r="U248" s="914" t="s">
        <v>2709</v>
      </c>
      <c r="V248" s="915" t="s">
        <v>2710</v>
      </c>
      <c r="W248" s="183" t="s">
        <v>1001</v>
      </c>
      <c r="X248" s="103" t="s">
        <v>1098</v>
      </c>
      <c r="Y248" s="913" t="s">
        <v>2711</v>
      </c>
      <c r="Z248" s="103"/>
      <c r="AA248" s="103"/>
      <c r="AB248" s="103"/>
      <c r="AC248" s="103"/>
      <c r="AD248" s="183" t="s">
        <v>985</v>
      </c>
      <c r="AE248" s="183"/>
      <c r="AF248" s="103" t="s">
        <v>991</v>
      </c>
      <c r="AG248" s="913" t="s">
        <v>1951</v>
      </c>
      <c r="AH248" s="103" t="s">
        <v>985</v>
      </c>
      <c r="AI248" s="103"/>
      <c r="AJ248" s="183" t="s">
        <v>985</v>
      </c>
      <c r="AK248" s="183"/>
      <c r="AL248" s="201" t="s">
        <v>985</v>
      </c>
      <c r="AM248" s="231" t="s">
        <v>978</v>
      </c>
      <c r="AN248" s="913" t="s">
        <v>1908</v>
      </c>
      <c r="AO248" s="913" t="s">
        <v>1909</v>
      </c>
      <c r="AP248" s="103" t="s">
        <v>1097</v>
      </c>
      <c r="AQ248" s="913" t="s">
        <v>2712</v>
      </c>
      <c r="AS248" s="104">
        <v>1500</v>
      </c>
      <c r="AT248" s="105">
        <v>1550</v>
      </c>
      <c r="AU248" s="444">
        <v>4</v>
      </c>
      <c r="AV248" s="405"/>
      <c r="AW248" s="405">
        <f>VLOOKUP(Таблица7[[#This Row],[Основное оружие]], Оружие[#All], 2, 0)</f>
        <v>3</v>
      </c>
      <c r="AX248" s="405" t="str">
        <f>IF(ISBLANK(Таблица7[[#This Row],[Дополнительное оружие]]),"", VLOOKUP(Таблица7[[#This Row],[Дополнительное оружие]], Оружие[#All], 2, 0))</f>
        <v/>
      </c>
      <c r="AY24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4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24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48" s="405">
        <f>VLOOKUP(Таблица7[[#This Row],[Основное оружие]], Оружие[#All], 3, 0)</f>
        <v>3</v>
      </c>
      <c r="BC248" s="405" t="str">
        <f>IF(ISBLANK(Таблица7[[#This Row],[Дополнительное оружие]]),"", VLOOKUP(Таблица7[[#This Row],[Дополнительное оружие]], Оружие[#All], 3, 0))</f>
        <v/>
      </c>
      <c r="BD24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4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4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4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4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8" s="405">
        <f>Таблица7[[#This Row],[Броня]]+Таблица7[[#This Row],[Щит]]+Таблица7[[#This Row],[навык защиты]]</f>
        <v>6</v>
      </c>
      <c r="BK248" s="1006"/>
      <c r="BL248" s="1006"/>
      <c r="BM248" s="388"/>
      <c r="BN248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48" s="388">
        <v>2</v>
      </c>
      <c r="BP248" s="388">
        <v>0</v>
      </c>
      <c r="BQ248" s="388">
        <v>-1</v>
      </c>
      <c r="BR248" s="388">
        <v>-1</v>
      </c>
      <c r="BS248" s="388">
        <v>1</v>
      </c>
      <c r="BT248" s="388">
        <v>7</v>
      </c>
      <c r="BU248" s="985" t="s">
        <v>1576</v>
      </c>
      <c r="BV248" s="985" t="s">
        <v>1842</v>
      </c>
      <c r="BW248" s="388"/>
      <c r="BX248" s="388"/>
      <c r="BY248" s="388"/>
      <c r="BZ248" s="106"/>
    </row>
    <row r="249" spans="1:78" s="104" customFormat="1" ht="40.5" customHeight="1" x14ac:dyDescent="0.25">
      <c r="A249" s="333">
        <v>248</v>
      </c>
      <c r="B249" s="917" t="s">
        <v>2713</v>
      </c>
      <c r="C249" s="917" t="s">
        <v>2716</v>
      </c>
      <c r="D249" s="103" t="s">
        <v>1556</v>
      </c>
      <c r="E249" s="103" t="s">
        <v>1448</v>
      </c>
      <c r="F249" s="103"/>
      <c r="G249" s="103"/>
      <c r="H249" s="103"/>
      <c r="I249" s="656">
        <v>0.75</v>
      </c>
      <c r="J249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249" s="611">
        <f>Таблица7[[#This Row],[Размер отряда минимум]]*1.25</f>
        <v>84.375</v>
      </c>
      <c r="L249" s="611">
        <f>Таблица7[[#This Row],[Размер отряда норма]]*1.5</f>
        <v>126.5625</v>
      </c>
      <c r="M249" s="612">
        <f>Таблица7[[#This Row],[Размер отряда минимум]]*2.5</f>
        <v>168.75</v>
      </c>
      <c r="N249" s="612"/>
      <c r="O249" s="612"/>
      <c r="P249" s="612"/>
      <c r="Q249" s="612"/>
      <c r="R249" s="104" t="s">
        <v>15</v>
      </c>
      <c r="S249" s="913" t="s">
        <v>2696</v>
      </c>
      <c r="T249" s="103" t="s">
        <v>975</v>
      </c>
      <c r="U249" s="918" t="s">
        <v>2715</v>
      </c>
      <c r="V249" s="919" t="s">
        <v>2717</v>
      </c>
      <c r="W249" s="183" t="s">
        <v>993</v>
      </c>
      <c r="X249" s="103" t="s">
        <v>1099</v>
      </c>
      <c r="Y249" s="917" t="s">
        <v>2714</v>
      </c>
      <c r="Z249" s="103"/>
      <c r="AA249" s="103"/>
      <c r="AB249" s="103"/>
      <c r="AC249" s="103"/>
      <c r="AD249" s="739" t="s">
        <v>1158</v>
      </c>
      <c r="AE249" s="739" t="s">
        <v>1962</v>
      </c>
      <c r="AF249" s="163" t="s">
        <v>1211</v>
      </c>
      <c r="AG249" s="163" t="s">
        <v>1963</v>
      </c>
      <c r="AH249" s="103" t="s">
        <v>985</v>
      </c>
      <c r="AI249" s="103"/>
      <c r="AJ249" s="183" t="s">
        <v>985</v>
      </c>
      <c r="AK249" s="183"/>
      <c r="AL249" s="201" t="s">
        <v>985</v>
      </c>
      <c r="AM249" s="103" t="s">
        <v>978</v>
      </c>
      <c r="AN249" s="913" t="s">
        <v>992</v>
      </c>
      <c r="AO249" s="945" t="s">
        <v>1904</v>
      </c>
      <c r="AP249" s="103" t="s">
        <v>1097</v>
      </c>
      <c r="AQ249" s="913" t="s">
        <v>2712</v>
      </c>
      <c r="AS249" s="104">
        <v>1500</v>
      </c>
      <c r="AT249" s="105">
        <v>1570</v>
      </c>
      <c r="AU249" s="405">
        <v>5</v>
      </c>
      <c r="AV249" s="405"/>
      <c r="AW249" s="405">
        <f>VLOOKUP(Таблица7[[#This Row],[Основное оружие]], Оружие[#All], 2, 0)</f>
        <v>6</v>
      </c>
      <c r="AX249" s="405" t="str">
        <f>IF(ISBLANK(Таблица7[[#This Row],[Дополнительное оружие]]),"", VLOOKUP(Таблица7[[#This Row],[Дополнительное оружие]], Оружие[#All], 2, 0))</f>
        <v/>
      </c>
      <c r="AY24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4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4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49" s="405">
        <f>VLOOKUP(Таблица7[[#This Row],[Основное оружие]], Оружие[#All], 3, 0)</f>
        <v>3</v>
      </c>
      <c r="BC249" s="405" t="str">
        <f>IF(ISBLANK(Таблица7[[#This Row],[Дополнительное оружие]]),"", VLOOKUP(Таблица7[[#This Row],[Дополнительное оружие]], Оружие[#All], 3, 0))</f>
        <v/>
      </c>
      <c r="BD24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4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4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4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4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4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49" s="405">
        <f>Таблица7[[#This Row],[Броня]]+Таблица7[[#This Row],[Щит]]+Таблица7[[#This Row],[навык защиты]]</f>
        <v>18</v>
      </c>
      <c r="BK249" s="1006"/>
      <c r="BL249" s="1006"/>
      <c r="BM249" s="388"/>
      <c r="BN249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49" s="388">
        <v>2</v>
      </c>
      <c r="BP249" s="388">
        <v>0</v>
      </c>
      <c r="BQ249" s="388">
        <v>-1</v>
      </c>
      <c r="BR249" s="388">
        <v>-1</v>
      </c>
      <c r="BS249" s="388">
        <v>1</v>
      </c>
      <c r="BT249" s="388">
        <v>7</v>
      </c>
      <c r="BU249" s="985" t="s">
        <v>1576</v>
      </c>
      <c r="BV249" s="985" t="s">
        <v>1843</v>
      </c>
      <c r="BW249" s="388"/>
      <c r="BX249" s="388"/>
      <c r="BY249" s="388"/>
      <c r="BZ249" s="106"/>
    </row>
    <row r="250" spans="1:78" s="104" customFormat="1" ht="40.5" customHeight="1" x14ac:dyDescent="0.25">
      <c r="A250" s="333">
        <v>249</v>
      </c>
      <c r="B250" s="917" t="s">
        <v>1335</v>
      </c>
      <c r="C250" s="917" t="s">
        <v>2718</v>
      </c>
      <c r="D250" s="103" t="s">
        <v>1556</v>
      </c>
      <c r="E250" s="103" t="s">
        <v>1561</v>
      </c>
      <c r="F250" s="103"/>
      <c r="G250" s="103"/>
      <c r="H250" s="103"/>
      <c r="I250" s="656">
        <v>0.75</v>
      </c>
      <c r="J250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50" s="611">
        <f>Таблица7[[#This Row],[Размер отряда минимум]]*1.25</f>
        <v>93.75</v>
      </c>
      <c r="L250" s="611">
        <f>Таблица7[[#This Row],[Размер отряда норма]]*1.5</f>
        <v>140.625</v>
      </c>
      <c r="M250" s="612">
        <f>Таблица7[[#This Row],[Размер отряда минимум]]*2.5</f>
        <v>187.5</v>
      </c>
      <c r="N250" s="612"/>
      <c r="O250" s="612"/>
      <c r="P250" s="612"/>
      <c r="Q250" s="612"/>
      <c r="R250" s="104" t="s">
        <v>15</v>
      </c>
      <c r="S250" s="913" t="s">
        <v>2696</v>
      </c>
      <c r="T250" s="103" t="s">
        <v>976</v>
      </c>
      <c r="U250" s="918" t="s">
        <v>2719</v>
      </c>
      <c r="V250" s="919" t="s">
        <v>2720</v>
      </c>
      <c r="W250" s="103" t="s">
        <v>993</v>
      </c>
      <c r="X250" s="103" t="s">
        <v>994</v>
      </c>
      <c r="Y250" s="917" t="s">
        <v>1932</v>
      </c>
      <c r="Z250" s="103"/>
      <c r="AA250" s="103"/>
      <c r="AB250" s="103"/>
      <c r="AC250" s="103"/>
      <c r="AD250" s="739" t="s">
        <v>1158</v>
      </c>
      <c r="AE250" s="739" t="s">
        <v>1962</v>
      </c>
      <c r="AF250" s="163" t="s">
        <v>1211</v>
      </c>
      <c r="AG250" s="163" t="s">
        <v>1963</v>
      </c>
      <c r="AH250" s="103" t="s">
        <v>985</v>
      </c>
      <c r="AI250" s="103"/>
      <c r="AJ250" s="183" t="s">
        <v>985</v>
      </c>
      <c r="AK250" s="183"/>
      <c r="AL250" s="201" t="s">
        <v>985</v>
      </c>
      <c r="AM250" s="103" t="s">
        <v>978</v>
      </c>
      <c r="AN250" s="913" t="s">
        <v>992</v>
      </c>
      <c r="AO250" s="917" t="s">
        <v>1904</v>
      </c>
      <c r="AP250" s="103" t="s">
        <v>1097</v>
      </c>
      <c r="AQ250" s="913" t="s">
        <v>2712</v>
      </c>
      <c r="AS250" s="104">
        <v>1570</v>
      </c>
      <c r="AT250" s="105"/>
      <c r="AU250" s="444">
        <v>2</v>
      </c>
      <c r="AV250" s="405"/>
      <c r="AW250" s="405">
        <f>VLOOKUP(Таблица7[[#This Row],[Основное оружие]], Оружие[#All], 2, 0)</f>
        <v>1</v>
      </c>
      <c r="AX250" s="405" t="str">
        <f>IF(ISBLANK(Таблица7[[#This Row],[Дополнительное оружие]]),"", VLOOKUP(Таблица7[[#This Row],[Дополнительное оружие]], Оружие[#All], 2, 0))</f>
        <v/>
      </c>
      <c r="AY25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0</v>
      </c>
      <c r="AZ25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</v>
      </c>
      <c r="BA250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50" s="405">
        <f>VLOOKUP(Таблица7[[#This Row],[Основное оружие]], Оружие[#All], 3, 0)</f>
        <v>1</v>
      </c>
      <c r="BC250" s="405" t="str">
        <f>IF(ISBLANK(Таблица7[[#This Row],[Дополнительное оружие]]),"", VLOOKUP(Таблица7[[#This Row],[Дополнительное оружие]], Оружие[#All], 3, 0))</f>
        <v/>
      </c>
      <c r="BD25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5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5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5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0</v>
      </c>
      <c r="BI25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0" s="405">
        <f>Таблица7[[#This Row],[Броня]]+Таблица7[[#This Row],[Щит]]+Таблица7[[#This Row],[навык защиты]]</f>
        <v>13</v>
      </c>
      <c r="BK250" s="1008"/>
      <c r="BL250" s="1008"/>
      <c r="BM250" s="388"/>
      <c r="BN250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50" s="388">
        <v>2</v>
      </c>
      <c r="BP250" s="388">
        <v>-1</v>
      </c>
      <c r="BQ250" s="388">
        <v>-1</v>
      </c>
      <c r="BR250" s="388">
        <v>-2</v>
      </c>
      <c r="BS250" s="388">
        <v>1</v>
      </c>
      <c r="BT250" s="388">
        <v>6</v>
      </c>
      <c r="BU250" s="985" t="s">
        <v>1839</v>
      </c>
      <c r="BV250" s="985" t="s">
        <v>1843</v>
      </c>
      <c r="BW250" s="388"/>
      <c r="BX250" s="388"/>
      <c r="BY250" s="388"/>
      <c r="BZ250" s="106"/>
    </row>
    <row r="251" spans="1:78" s="104" customFormat="1" ht="40.5" customHeight="1" x14ac:dyDescent="0.25">
      <c r="A251" s="333">
        <v>250</v>
      </c>
      <c r="B251" s="917" t="s">
        <v>2721</v>
      </c>
      <c r="C251" s="917" t="s">
        <v>2722</v>
      </c>
      <c r="D251" s="103" t="s">
        <v>1556</v>
      </c>
      <c r="E251" s="103" t="s">
        <v>1547</v>
      </c>
      <c r="F251" s="103"/>
      <c r="G251" s="103"/>
      <c r="H251" s="103"/>
      <c r="I251" s="656">
        <v>0.75</v>
      </c>
      <c r="J251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60</v>
      </c>
      <c r="K251" s="611">
        <f>Таблица7[[#This Row],[Размер отряда минимум]]*1.25</f>
        <v>75</v>
      </c>
      <c r="L251" s="611">
        <f>Таблица7[[#This Row],[Размер отряда норма]]*1.5</f>
        <v>112.5</v>
      </c>
      <c r="M251" s="612">
        <f>Таблица7[[#This Row],[Размер отряда минимум]]*2.5</f>
        <v>150</v>
      </c>
      <c r="N251" s="612"/>
      <c r="O251" s="612"/>
      <c r="P251" s="612"/>
      <c r="Q251" s="612"/>
      <c r="R251" s="104" t="s">
        <v>15</v>
      </c>
      <c r="S251" s="913" t="s">
        <v>2696</v>
      </c>
      <c r="T251" s="103" t="s">
        <v>975</v>
      </c>
      <c r="U251" s="918" t="s">
        <v>2723</v>
      </c>
      <c r="V251" s="919" t="s">
        <v>2724</v>
      </c>
      <c r="W251" s="183" t="s">
        <v>993</v>
      </c>
      <c r="X251" s="103" t="s">
        <v>1099</v>
      </c>
      <c r="Y251" s="917" t="s">
        <v>2714</v>
      </c>
      <c r="Z251" s="103"/>
      <c r="AA251" s="103"/>
      <c r="AB251" s="103"/>
      <c r="AC251" s="103"/>
      <c r="AD251" s="739" t="s">
        <v>1482</v>
      </c>
      <c r="AE251" s="739" t="s">
        <v>1975</v>
      </c>
      <c r="AF251" s="163" t="s">
        <v>1481</v>
      </c>
      <c r="AG251" s="163" t="s">
        <v>1978</v>
      </c>
      <c r="AH251" s="103" t="s">
        <v>985</v>
      </c>
      <c r="AI251" s="103"/>
      <c r="AJ251" s="526" t="s">
        <v>985</v>
      </c>
      <c r="AK251" s="526"/>
      <c r="AL251" s="201" t="s">
        <v>985</v>
      </c>
      <c r="AM251" s="103" t="s">
        <v>978</v>
      </c>
      <c r="AN251" s="913" t="s">
        <v>2536</v>
      </c>
      <c r="AO251" s="917" t="s">
        <v>2728</v>
      </c>
      <c r="AP251" s="103" t="s">
        <v>1102</v>
      </c>
      <c r="AQ251" s="917" t="s">
        <v>2729</v>
      </c>
      <c r="AS251" s="104">
        <v>1500</v>
      </c>
      <c r="AT251" s="105">
        <v>1547</v>
      </c>
      <c r="AU251" s="405">
        <v>6</v>
      </c>
      <c r="AV251" s="405"/>
      <c r="AW251" s="405">
        <f>VLOOKUP(Таблица7[[#This Row],[Основное оружие]], Оружие[#All], 2, 0)</f>
        <v>6</v>
      </c>
      <c r="AX251" s="405" t="str">
        <f>IF(ISBLANK(Таблица7[[#This Row],[Дополнительное оружие]]),"", VLOOKUP(Таблица7[[#This Row],[Дополнительное оружие]], Оружие[#All], 2, 0))</f>
        <v/>
      </c>
      <c r="AY25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5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5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51" s="405">
        <f>VLOOKUP(Таблица7[[#This Row],[Основное оружие]], Оружие[#All], 3, 0)</f>
        <v>3</v>
      </c>
      <c r="BC251" s="405" t="str">
        <f>IF(ISBLANK(Таблица7[[#This Row],[Дополнительное оружие]]),"", VLOOKUP(Таблица7[[#This Row],[Дополнительное оружие]], Оружие[#All], 3, 0))</f>
        <v/>
      </c>
      <c r="BD25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5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5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5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5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1" s="405">
        <f>Таблица7[[#This Row],[Броня]]+Таблица7[[#This Row],[Щит]]+Таблица7[[#This Row],[навык защиты]]</f>
        <v>23</v>
      </c>
      <c r="BK251" s="1006"/>
      <c r="BL251" s="1006"/>
      <c r="BM251" s="388"/>
      <c r="BN251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51" s="388">
        <v>2</v>
      </c>
      <c r="BP251" s="388">
        <v>0</v>
      </c>
      <c r="BQ251" s="388">
        <v>-1</v>
      </c>
      <c r="BR251" s="388">
        <v>-1</v>
      </c>
      <c r="BS251" s="388">
        <v>1</v>
      </c>
      <c r="BT251" s="388">
        <v>8</v>
      </c>
      <c r="BU251" s="985" t="s">
        <v>1576</v>
      </c>
      <c r="BV251" s="985" t="s">
        <v>1843</v>
      </c>
      <c r="BW251" s="388"/>
      <c r="BX251" s="388"/>
      <c r="BY251" s="388"/>
      <c r="BZ251" s="106"/>
    </row>
    <row r="252" spans="1:78" s="104" customFormat="1" ht="40.5" customHeight="1" x14ac:dyDescent="0.25">
      <c r="A252" s="333">
        <v>251</v>
      </c>
      <c r="B252" s="300" t="s">
        <v>1336</v>
      </c>
      <c r="C252" s="917" t="s">
        <v>2725</v>
      </c>
      <c r="D252" s="103" t="s">
        <v>1556</v>
      </c>
      <c r="E252" s="103" t="s">
        <v>1562</v>
      </c>
      <c r="F252" s="103"/>
      <c r="G252" s="103"/>
      <c r="H252" s="103"/>
      <c r="I252" s="656">
        <v>0.75</v>
      </c>
      <c r="J252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252" s="611">
        <f>Таблица7[[#This Row],[Размер отряда минимум]]*1.25</f>
        <v>84.375</v>
      </c>
      <c r="L252" s="611">
        <f>Таблица7[[#This Row],[Размер отряда норма]]*1.5</f>
        <v>126.5625</v>
      </c>
      <c r="M252" s="612">
        <f>Таблица7[[#This Row],[Размер отряда минимум]]*2.5</f>
        <v>168.75</v>
      </c>
      <c r="N252" s="612"/>
      <c r="O252" s="612"/>
      <c r="P252" s="612"/>
      <c r="Q252" s="612"/>
      <c r="R252" s="104" t="s">
        <v>15</v>
      </c>
      <c r="S252" s="913" t="s">
        <v>2696</v>
      </c>
      <c r="T252" s="103" t="s">
        <v>976</v>
      </c>
      <c r="U252" s="918" t="s">
        <v>2726</v>
      </c>
      <c r="V252" s="919" t="s">
        <v>2727</v>
      </c>
      <c r="W252" s="183" t="s">
        <v>993</v>
      </c>
      <c r="X252" s="103" t="s">
        <v>994</v>
      </c>
      <c r="Y252" s="917" t="s">
        <v>1932</v>
      </c>
      <c r="Z252" s="103"/>
      <c r="AA252" s="103"/>
      <c r="AB252" s="103"/>
      <c r="AC252" s="103"/>
      <c r="AD252" s="739" t="s">
        <v>1482</v>
      </c>
      <c r="AE252" s="739" t="s">
        <v>1975</v>
      </c>
      <c r="AF252" s="163" t="s">
        <v>1481</v>
      </c>
      <c r="AG252" s="163" t="s">
        <v>1978</v>
      </c>
      <c r="AH252" s="103" t="s">
        <v>985</v>
      </c>
      <c r="AI252" s="103"/>
      <c r="AJ252" s="527" t="s">
        <v>985</v>
      </c>
      <c r="AK252" s="527"/>
      <c r="AL252" s="201" t="s">
        <v>985</v>
      </c>
      <c r="AM252" s="103" t="s">
        <v>978</v>
      </c>
      <c r="AN252" s="913" t="s">
        <v>2536</v>
      </c>
      <c r="AO252" s="917" t="s">
        <v>2728</v>
      </c>
      <c r="AP252" s="103" t="s">
        <v>1102</v>
      </c>
      <c r="AQ252" s="917" t="s">
        <v>2729</v>
      </c>
      <c r="AS252" s="104">
        <v>1547</v>
      </c>
      <c r="AT252" s="105"/>
      <c r="AU252" s="444">
        <v>5</v>
      </c>
      <c r="AV252" s="405"/>
      <c r="AW252" s="405">
        <f>VLOOKUP(Таблица7[[#This Row],[Основное оружие]], Оружие[#All], 2, 0)</f>
        <v>1</v>
      </c>
      <c r="AX252" s="405" t="str">
        <f>IF(ISBLANK(Таблица7[[#This Row],[Дополнительное оружие]]),"", VLOOKUP(Таблица7[[#This Row],[Дополнительное оружие]], Оружие[#All], 2, 0))</f>
        <v/>
      </c>
      <c r="AY25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25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3</v>
      </c>
      <c r="BA252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52" s="405">
        <f>VLOOKUP(Таблица7[[#This Row],[Основное оружие]], Оружие[#All], 3, 0)</f>
        <v>1</v>
      </c>
      <c r="BC252" s="405" t="str">
        <f>IF(ISBLANK(Таблица7[[#This Row],[Дополнительное оружие]]),"", VLOOKUP(Таблица7[[#This Row],[Дополнительное оружие]], Оружие[#All], 3, 0))</f>
        <v/>
      </c>
      <c r="BD25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5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5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5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5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2" s="405">
        <f>Таблица7[[#This Row],[Броня]]+Таблица7[[#This Row],[Щит]]+Таблица7[[#This Row],[навык защиты]]</f>
        <v>20</v>
      </c>
      <c r="BK252" s="1006"/>
      <c r="BL252" s="1006"/>
      <c r="BM252" s="388"/>
      <c r="BN252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52" s="388">
        <v>2</v>
      </c>
      <c r="BP252" s="388">
        <v>-1</v>
      </c>
      <c r="BQ252" s="388">
        <v>-1</v>
      </c>
      <c r="BR252" s="388">
        <v>-2</v>
      </c>
      <c r="BS252" s="388">
        <v>1</v>
      </c>
      <c r="BT252" s="388">
        <v>7</v>
      </c>
      <c r="BU252" s="985" t="s">
        <v>1839</v>
      </c>
      <c r="BV252" s="985" t="s">
        <v>1843</v>
      </c>
      <c r="BW252" s="388"/>
      <c r="BX252" s="388"/>
      <c r="BY252" s="388"/>
      <c r="BZ252" s="106"/>
    </row>
    <row r="253" spans="1:78" s="104" customFormat="1" ht="40.5" customHeight="1" x14ac:dyDescent="0.25">
      <c r="A253" s="333">
        <v>252</v>
      </c>
      <c r="B253" s="300" t="s">
        <v>1337</v>
      </c>
      <c r="C253" s="917" t="s">
        <v>2730</v>
      </c>
      <c r="D253" s="103" t="s">
        <v>1556</v>
      </c>
      <c r="E253" s="103" t="s">
        <v>1547</v>
      </c>
      <c r="F253" s="103"/>
      <c r="G253" s="103"/>
      <c r="H253" s="103"/>
      <c r="I253" s="656">
        <v>0.3</v>
      </c>
      <c r="J253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253" s="611">
        <f>Таблица7[[#This Row],[Размер отряда минимум]]*1.25</f>
        <v>30</v>
      </c>
      <c r="L253" s="611">
        <f>Таблица7[[#This Row],[Размер отряда норма]]*1.5</f>
        <v>45</v>
      </c>
      <c r="M253" s="612">
        <f>Таблица7[[#This Row],[Размер отряда минимум]]*2.5</f>
        <v>60</v>
      </c>
      <c r="N253" s="612"/>
      <c r="O253" s="612"/>
      <c r="P253" s="612"/>
      <c r="Q253" s="612"/>
      <c r="R253" s="104" t="s">
        <v>15</v>
      </c>
      <c r="S253" s="913" t="s">
        <v>2696</v>
      </c>
      <c r="T253" s="103" t="s">
        <v>975</v>
      </c>
      <c r="U253" s="918" t="s">
        <v>2731</v>
      </c>
      <c r="V253" s="919" t="s">
        <v>2732</v>
      </c>
      <c r="W253" s="103" t="s">
        <v>1001</v>
      </c>
      <c r="X253" s="441" t="s">
        <v>1103</v>
      </c>
      <c r="Y253" s="917" t="s">
        <v>1935</v>
      </c>
      <c r="Z253" s="103"/>
      <c r="AA253" s="103"/>
      <c r="AB253" s="103"/>
      <c r="AC253" s="103"/>
      <c r="AD253" s="183" t="s">
        <v>1002</v>
      </c>
      <c r="AE253" s="918" t="s">
        <v>2025</v>
      </c>
      <c r="AF253" s="163" t="s">
        <v>985</v>
      </c>
      <c r="AG253" s="163"/>
      <c r="AH253" s="163" t="s">
        <v>985</v>
      </c>
      <c r="AI253" s="163"/>
      <c r="AJ253" s="103" t="s">
        <v>1004</v>
      </c>
      <c r="AK253" s="917" t="s">
        <v>1952</v>
      </c>
      <c r="AL253" s="201" t="s">
        <v>985</v>
      </c>
      <c r="AM253" s="103" t="s">
        <v>977</v>
      </c>
      <c r="AN253" s="103" t="s">
        <v>1117</v>
      </c>
      <c r="AO253" s="917" t="s">
        <v>2313</v>
      </c>
      <c r="AP253" s="103" t="s">
        <v>1097</v>
      </c>
      <c r="AQ253" s="913" t="s">
        <v>2712</v>
      </c>
      <c r="AS253" s="104">
        <v>1500</v>
      </c>
      <c r="AT253" s="105">
        <v>1547</v>
      </c>
      <c r="AU253" s="405">
        <v>7</v>
      </c>
      <c r="AV253" s="405"/>
      <c r="AW253" s="405">
        <f>VLOOKUP(Таблица7[[#This Row],[Основное оружие]], Оружие[#All], 2, 0)</f>
        <v>3</v>
      </c>
      <c r="AX253" s="405" t="str">
        <f>IF(ISBLANK(Таблица7[[#This Row],[Дополнительное оружие]]),"", VLOOKUP(Таблица7[[#This Row],[Дополнительное оружие]], Оружие[#All], 2, 0))</f>
        <v/>
      </c>
      <c r="AY25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5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25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53" s="405">
        <f>VLOOKUP(Таблица7[[#This Row],[Основное оружие]], Оружие[#All], 3, 0)</f>
        <v>3</v>
      </c>
      <c r="BC253" s="405" t="str">
        <f>IF(ISBLANK(Таблица7[[#This Row],[Дополнительное оружие]]),"", VLOOKUP(Таблица7[[#This Row],[Дополнительное оружие]], Оружие[#All], 3, 0))</f>
        <v/>
      </c>
      <c r="BD25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25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5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5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7</v>
      </c>
      <c r="BI25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3" s="405">
        <f>Таблица7[[#This Row],[Броня]]+Таблица7[[#This Row],[Щит]]+Таблица7[[#This Row],[навык защиты]]</f>
        <v>27</v>
      </c>
      <c r="BK253" s="1006"/>
      <c r="BL253" s="1008" t="s">
        <v>1585</v>
      </c>
      <c r="BM253" s="388"/>
      <c r="BN253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53" s="388">
        <v>2</v>
      </c>
      <c r="BP253" s="388">
        <v>1</v>
      </c>
      <c r="BQ253" s="388">
        <v>-1</v>
      </c>
      <c r="BR253" s="388">
        <v>2</v>
      </c>
      <c r="BS253" s="388">
        <v>1</v>
      </c>
      <c r="BT253" s="388">
        <v>9</v>
      </c>
      <c r="BU253" s="985" t="s">
        <v>1840</v>
      </c>
      <c r="BV253" s="985" t="s">
        <v>1844</v>
      </c>
      <c r="BW253" s="388"/>
      <c r="BX253" s="388"/>
      <c r="BY253" s="388"/>
      <c r="BZ253" s="106"/>
    </row>
    <row r="254" spans="1:78" s="104" customFormat="1" ht="40.5" customHeight="1" x14ac:dyDescent="0.25">
      <c r="A254" s="333">
        <v>253</v>
      </c>
      <c r="B254" s="300" t="s">
        <v>1338</v>
      </c>
      <c r="C254" s="917" t="s">
        <v>2741</v>
      </c>
      <c r="D254" s="103" t="s">
        <v>1555</v>
      </c>
      <c r="E254" s="103" t="s">
        <v>1559</v>
      </c>
      <c r="F254" s="103"/>
      <c r="G254" s="103"/>
      <c r="H254" s="103"/>
      <c r="I254" s="656">
        <v>0.75</v>
      </c>
      <c r="J254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</v>
      </c>
      <c r="K254" s="611">
        <f>Таблица7[[#This Row],[Размер отряда минимум]]*1.25</f>
        <v>26.25</v>
      </c>
      <c r="L254" s="611">
        <f>Таблица7[[#This Row],[Размер отряда норма]]*1.5</f>
        <v>39.375</v>
      </c>
      <c r="M254" s="612">
        <f>Таблица7[[#This Row],[Размер отряда минимум]]*2.5</f>
        <v>52.5</v>
      </c>
      <c r="N254" s="612"/>
      <c r="O254" s="612"/>
      <c r="P254" s="612"/>
      <c r="Q254" s="612"/>
      <c r="R254" s="104" t="s">
        <v>15</v>
      </c>
      <c r="S254" s="913" t="s">
        <v>2696</v>
      </c>
      <c r="T254" s="103" t="s">
        <v>975</v>
      </c>
      <c r="U254" s="918" t="s">
        <v>2742</v>
      </c>
      <c r="V254" s="919" t="s">
        <v>2743</v>
      </c>
      <c r="W254" s="103" t="s">
        <v>1001</v>
      </c>
      <c r="X254" s="103" t="s">
        <v>2105</v>
      </c>
      <c r="Y254" s="917" t="s">
        <v>2024</v>
      </c>
      <c r="Z254" s="103" t="s">
        <v>1036</v>
      </c>
      <c r="AA254" s="917" t="s">
        <v>1929</v>
      </c>
      <c r="AB254" s="103"/>
      <c r="AC254" s="103"/>
      <c r="AD254" s="183" t="s">
        <v>1211</v>
      </c>
      <c r="AE254" s="163" t="s">
        <v>1963</v>
      </c>
      <c r="AF254" s="103" t="s">
        <v>1215</v>
      </c>
      <c r="AG254" s="103" t="s">
        <v>1977</v>
      </c>
      <c r="AH254" s="103" t="s">
        <v>1481</v>
      </c>
      <c r="AI254" s="103" t="s">
        <v>1978</v>
      </c>
      <c r="AJ254" s="183" t="s">
        <v>1002</v>
      </c>
      <c r="AK254" s="918" t="s">
        <v>2025</v>
      </c>
      <c r="AL254" s="201" t="s">
        <v>985</v>
      </c>
      <c r="AM254" s="103" t="s">
        <v>977</v>
      </c>
      <c r="AN254" s="103" t="s">
        <v>999</v>
      </c>
      <c r="AO254" s="945" t="s">
        <v>2032</v>
      </c>
      <c r="AP254" s="103" t="s">
        <v>1097</v>
      </c>
      <c r="AQ254" s="913" t="s">
        <v>2712</v>
      </c>
      <c r="AS254" s="104">
        <v>1500</v>
      </c>
      <c r="AT254" s="105">
        <v>1550</v>
      </c>
      <c r="AU254" s="405">
        <v>5</v>
      </c>
      <c r="AV254" s="405"/>
      <c r="AW254" s="405">
        <f>VLOOKUP(Таблица7[[#This Row],[Основное оружие]], Оружие[#All], 2, 0)</f>
        <v>2</v>
      </c>
      <c r="AX254" s="405">
        <f>IF(ISBLANK(Таблица7[[#This Row],[Дополнительное оружие]]),"", VLOOKUP(Таблица7[[#This Row],[Дополнительное оружие]], Оружие[#All], 2, 0))</f>
        <v>5</v>
      </c>
      <c r="AY25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5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25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54" s="405">
        <f>VLOOKUP(Таблица7[[#This Row],[Основное оружие]], Оружие[#All], 3, 0)</f>
        <v>10</v>
      </c>
      <c r="BC254" s="405">
        <f>IF(ISBLANK(Таблица7[[#This Row],[Дополнительное оружие]]),"", VLOOKUP(Таблица7[[#This Row],[Дополнительное оружие]], Оружие[#All], 3, 0))</f>
        <v>3</v>
      </c>
      <c r="BD25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5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14</v>
      </c>
      <c r="BF254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17</v>
      </c>
      <c r="BG25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18</v>
      </c>
      <c r="BH25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5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4" s="405">
        <f>Таблица7[[#This Row],[Броня]]+Таблица7[[#This Row],[Щит]]+Таблица7[[#This Row],[навык защиты]]</f>
        <v>16</v>
      </c>
      <c r="BK254" s="1006"/>
      <c r="BL254" s="1006"/>
      <c r="BM254" s="388"/>
      <c r="BN254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54" s="388">
        <v>2</v>
      </c>
      <c r="BP254" s="388">
        <v>-2</v>
      </c>
      <c r="BQ254" s="388">
        <v>0</v>
      </c>
      <c r="BR254" s="388">
        <v>-4</v>
      </c>
      <c r="BS254" s="388">
        <v>-2</v>
      </c>
      <c r="BT254" s="388">
        <v>7</v>
      </c>
      <c r="BU254" s="985" t="s">
        <v>1576</v>
      </c>
      <c r="BV254" s="985" t="s">
        <v>1843</v>
      </c>
      <c r="BW254" s="388"/>
      <c r="BX254" s="388"/>
      <c r="BY254" s="388"/>
      <c r="BZ254" s="106"/>
    </row>
    <row r="255" spans="1:78" s="104" customFormat="1" ht="40.5" customHeight="1" x14ac:dyDescent="0.25">
      <c r="A255" s="333">
        <v>254</v>
      </c>
      <c r="B255" s="300" t="s">
        <v>1339</v>
      </c>
      <c r="C255" s="917" t="s">
        <v>2744</v>
      </c>
      <c r="D255" s="103" t="s">
        <v>1555</v>
      </c>
      <c r="E255" s="103" t="s">
        <v>1571</v>
      </c>
      <c r="F255" s="103"/>
      <c r="G255" s="103"/>
      <c r="H255" s="103"/>
      <c r="I255" s="656">
        <v>0.75</v>
      </c>
      <c r="J255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255" s="611">
        <f>Таблица7[[#This Row],[Размер отряда минимум]]*1.25</f>
        <v>30</v>
      </c>
      <c r="L255" s="611">
        <f>Таблица7[[#This Row],[Размер отряда норма]]*1.5</f>
        <v>45</v>
      </c>
      <c r="M255" s="612">
        <f>Таблица7[[#This Row],[Размер отряда минимум]]*2.5</f>
        <v>60</v>
      </c>
      <c r="N255" s="612"/>
      <c r="O255" s="612"/>
      <c r="P255" s="612"/>
      <c r="Q255" s="612"/>
      <c r="R255" s="104" t="s">
        <v>15</v>
      </c>
      <c r="S255" s="913" t="s">
        <v>2696</v>
      </c>
      <c r="T255" s="103" t="s">
        <v>976</v>
      </c>
      <c r="U255" s="918" t="s">
        <v>2745</v>
      </c>
      <c r="V255" s="919" t="s">
        <v>2746</v>
      </c>
      <c r="W255" s="183" t="s">
        <v>1001</v>
      </c>
      <c r="X255" s="103" t="s">
        <v>1468</v>
      </c>
      <c r="Y255" s="917" t="s">
        <v>1947</v>
      </c>
      <c r="Z255" s="357" t="s">
        <v>1440</v>
      </c>
      <c r="AA255" s="917" t="s">
        <v>2020</v>
      </c>
      <c r="AB255" s="103"/>
      <c r="AC255" s="103"/>
      <c r="AD255" s="739" t="s">
        <v>1158</v>
      </c>
      <c r="AE255" s="739" t="s">
        <v>1962</v>
      </c>
      <c r="AF255" s="103" t="s">
        <v>1211</v>
      </c>
      <c r="AG255" s="163" t="s">
        <v>1963</v>
      </c>
      <c r="AH255" s="103" t="s">
        <v>985</v>
      </c>
      <c r="AI255" s="103"/>
      <c r="AJ255" s="183" t="s">
        <v>985</v>
      </c>
      <c r="AK255" s="183"/>
      <c r="AL255" s="201" t="s">
        <v>985</v>
      </c>
      <c r="AM255" s="103" t="s">
        <v>978</v>
      </c>
      <c r="AN255" s="103" t="s">
        <v>992</v>
      </c>
      <c r="AO255" s="917" t="s">
        <v>1904</v>
      </c>
      <c r="AP255" s="103" t="s">
        <v>1097</v>
      </c>
      <c r="AQ255" s="913" t="s">
        <v>2712</v>
      </c>
      <c r="AS255" s="104">
        <v>1574</v>
      </c>
      <c r="AT255" s="105"/>
      <c r="AU255" s="405">
        <v>3</v>
      </c>
      <c r="AV255" s="405" t="s">
        <v>1827</v>
      </c>
      <c r="AW255" s="405">
        <f>VLOOKUP(Таблица7[[#This Row],[Основное оружие]], Оружие[#All], 2, 0)</f>
        <v>0</v>
      </c>
      <c r="AX255" s="405">
        <f>IF(ISBLANK(Таблица7[[#This Row],[Дополнительное оружие]]),"", VLOOKUP(Таблица7[[#This Row],[Дополнительное оружие]], Оружие[#All], 2, 0))</f>
        <v>4</v>
      </c>
      <c r="AY25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5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5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255" s="405">
        <f>VLOOKUP(Таблица7[[#This Row],[Основное оружие]], Оружие[#All], 3, 0)</f>
        <v>1</v>
      </c>
      <c r="BC255" s="405">
        <f>IF(ISBLANK(Таблица7[[#This Row],[Дополнительное оружие]]),"", VLOOKUP(Таблица7[[#This Row],[Дополнительное оружие]], Оружие[#All], 3, 0))</f>
        <v>3</v>
      </c>
      <c r="BD25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25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13</v>
      </c>
      <c r="BF25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5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25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5" s="405">
        <f>Таблица7[[#This Row],[Броня]]+Таблица7[[#This Row],[Щит]]+Таблица7[[#This Row],[навык защиты]]</f>
        <v>12</v>
      </c>
      <c r="BK255" s="1006"/>
      <c r="BL255" s="1006"/>
      <c r="BM255" s="388"/>
      <c r="BN255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55" s="388">
        <v>2</v>
      </c>
      <c r="BP255" s="388">
        <v>-2</v>
      </c>
      <c r="BQ255" s="388">
        <v>0</v>
      </c>
      <c r="BR255" s="388">
        <v>-4</v>
      </c>
      <c r="BS255" s="388">
        <v>-2</v>
      </c>
      <c r="BT255" s="388">
        <v>7</v>
      </c>
      <c r="BU255" s="985" t="s">
        <v>1839</v>
      </c>
      <c r="BV255" s="985" t="s">
        <v>1843</v>
      </c>
      <c r="BW255" s="388"/>
      <c r="BX255" s="388"/>
      <c r="BY255" s="388"/>
      <c r="BZ255" s="106"/>
    </row>
    <row r="256" spans="1:78" s="104" customFormat="1" ht="40.5" customHeight="1" x14ac:dyDescent="0.25">
      <c r="A256" s="333">
        <v>255</v>
      </c>
      <c r="B256" s="300" t="s">
        <v>1340</v>
      </c>
      <c r="C256" s="917" t="s">
        <v>2747</v>
      </c>
      <c r="D256" s="103" t="s">
        <v>1555</v>
      </c>
      <c r="E256" s="103" t="s">
        <v>1547</v>
      </c>
      <c r="F256" s="103"/>
      <c r="G256" s="103"/>
      <c r="H256" s="103"/>
      <c r="I256" s="656">
        <v>0.75</v>
      </c>
      <c r="J256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256" s="611">
        <f>Таблица7[[#This Row],[Размер отряда минимум]]*1.25</f>
        <v>18.75</v>
      </c>
      <c r="L256" s="611">
        <f>Таблица7[[#This Row],[Размер отряда норма]]*1.5</f>
        <v>28.125</v>
      </c>
      <c r="M256" s="612">
        <f>Таблица7[[#This Row],[Размер отряда минимум]]*2.5</f>
        <v>37.5</v>
      </c>
      <c r="N256" s="612"/>
      <c r="O256" s="612"/>
      <c r="P256" s="612"/>
      <c r="Q256" s="612"/>
      <c r="R256" s="104" t="s">
        <v>15</v>
      </c>
      <c r="S256" s="913" t="s">
        <v>2696</v>
      </c>
      <c r="T256" s="103" t="s">
        <v>975</v>
      </c>
      <c r="U256" s="918" t="s">
        <v>2748</v>
      </c>
      <c r="V256" s="919" t="s">
        <v>2749</v>
      </c>
      <c r="W256" s="183" t="s">
        <v>1001</v>
      </c>
      <c r="X256" s="103" t="s">
        <v>2105</v>
      </c>
      <c r="Y256" s="917" t="s">
        <v>2024</v>
      </c>
      <c r="Z256" s="103" t="s">
        <v>1036</v>
      </c>
      <c r="AA256" s="917" t="s">
        <v>1929</v>
      </c>
      <c r="AB256" s="103"/>
      <c r="AC256" s="103"/>
      <c r="AD256" s="183" t="s">
        <v>1002</v>
      </c>
      <c r="AE256" s="918" t="s">
        <v>2025</v>
      </c>
      <c r="AF256" s="163" t="s">
        <v>985</v>
      </c>
      <c r="AG256" s="163"/>
      <c r="AH256" s="163" t="s">
        <v>985</v>
      </c>
      <c r="AI256" s="163"/>
      <c r="AJ256" s="103" t="s">
        <v>1004</v>
      </c>
      <c r="AK256" s="917" t="s">
        <v>1952</v>
      </c>
      <c r="AL256" s="201" t="s">
        <v>1163</v>
      </c>
      <c r="AM256" s="103" t="s">
        <v>977</v>
      </c>
      <c r="AN256" s="103" t="s">
        <v>999</v>
      </c>
      <c r="AO256" s="917" t="s">
        <v>2032</v>
      </c>
      <c r="AP256" s="103" t="s">
        <v>1097</v>
      </c>
      <c r="AQ256" s="913" t="s">
        <v>2712</v>
      </c>
      <c r="AS256" s="104">
        <v>1500</v>
      </c>
      <c r="AT256" s="105">
        <v>1565</v>
      </c>
      <c r="AU256" s="405">
        <v>7</v>
      </c>
      <c r="AV256" s="405"/>
      <c r="AW256" s="405">
        <f>VLOOKUP(Таблица7[[#This Row],[Основное оружие]], Оружие[#All], 2, 0)</f>
        <v>2</v>
      </c>
      <c r="AX256" s="405">
        <f>IF(ISBLANK(Таблица7[[#This Row],[Дополнительное оружие]]),"", VLOOKUP(Таблица7[[#This Row],[Дополнительное оружие]], Оружие[#All], 2, 0))</f>
        <v>5</v>
      </c>
      <c r="AY25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5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25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256" s="405">
        <f>VLOOKUP(Таблица7[[#This Row],[Основное оружие]], Оружие[#All], 3, 0)</f>
        <v>10</v>
      </c>
      <c r="BC256" s="405">
        <f>IF(ISBLANK(Таблица7[[#This Row],[Дополнительное оружие]]),"", VLOOKUP(Таблица7[[#This Row],[Дополнительное оружие]], Оружие[#All], 3, 0))</f>
        <v>3</v>
      </c>
      <c r="BD25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25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5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6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5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5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6" s="405">
        <f>Таблица7[[#This Row],[Броня]]+Таблица7[[#This Row],[Щит]]+Таблица7[[#This Row],[навык защиты]]</f>
        <v>24</v>
      </c>
      <c r="BK256" s="1006"/>
      <c r="BL256" s="1006"/>
      <c r="BM256" s="388"/>
      <c r="BN256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56" s="388">
        <v>2</v>
      </c>
      <c r="BP256" s="388">
        <v>-2</v>
      </c>
      <c r="BQ256" s="388">
        <v>0</v>
      </c>
      <c r="BR256" s="388">
        <v>-4</v>
      </c>
      <c r="BS256" s="388">
        <v>-2</v>
      </c>
      <c r="BT256" s="388">
        <v>8</v>
      </c>
      <c r="BU256" s="985" t="s">
        <v>1576</v>
      </c>
      <c r="BV256" s="985" t="s">
        <v>1843</v>
      </c>
      <c r="BW256" s="388"/>
      <c r="BX256" s="388"/>
      <c r="BY256" s="388"/>
      <c r="BZ256" s="106"/>
    </row>
    <row r="257" spans="1:78" s="104" customFormat="1" ht="40.5" customHeight="1" x14ac:dyDescent="0.25">
      <c r="A257" s="333">
        <v>256</v>
      </c>
      <c r="B257" s="917" t="s">
        <v>1341</v>
      </c>
      <c r="C257" s="917" t="s">
        <v>2750</v>
      </c>
      <c r="D257" s="103" t="s">
        <v>1556</v>
      </c>
      <c r="E257" s="103" t="s">
        <v>1570</v>
      </c>
      <c r="F257" s="103"/>
      <c r="G257" s="103"/>
      <c r="H257" s="103"/>
      <c r="I257" s="656">
        <v>0.75</v>
      </c>
      <c r="J257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257" s="611">
        <f>Таблица7[[#This Row],[Размер отряда минимум]]*1.25</f>
        <v>84.375</v>
      </c>
      <c r="L257" s="611">
        <f>Таблица7[[#This Row],[Размер отряда норма]]*1.5</f>
        <v>126.5625</v>
      </c>
      <c r="M257" s="612">
        <f>Таблица7[[#This Row],[Размер отряда минимум]]*2.5</f>
        <v>168.75</v>
      </c>
      <c r="N257" s="612"/>
      <c r="O257" s="612"/>
      <c r="P257" s="612"/>
      <c r="Q257" s="612"/>
      <c r="R257" s="104" t="s">
        <v>15</v>
      </c>
      <c r="S257" s="913" t="s">
        <v>2696</v>
      </c>
      <c r="T257" s="103" t="s">
        <v>975</v>
      </c>
      <c r="U257" s="918" t="s">
        <v>2751</v>
      </c>
      <c r="V257" s="919" t="s">
        <v>2752</v>
      </c>
      <c r="W257" s="103" t="s">
        <v>1001</v>
      </c>
      <c r="X257" s="103" t="s">
        <v>1469</v>
      </c>
      <c r="Y257" s="103" t="s">
        <v>2056</v>
      </c>
      <c r="Z257" s="103" t="s">
        <v>1036</v>
      </c>
      <c r="AA257" s="917" t="s">
        <v>1929</v>
      </c>
      <c r="AB257" s="103"/>
      <c r="AC257" s="103"/>
      <c r="AD257" s="183" t="s">
        <v>985</v>
      </c>
      <c r="AE257" s="183"/>
      <c r="AF257" s="103" t="s">
        <v>991</v>
      </c>
      <c r="AG257" s="103"/>
      <c r="AH257" s="163" t="s">
        <v>985</v>
      </c>
      <c r="AI257" s="917" t="s">
        <v>1951</v>
      </c>
      <c r="AJ257" s="183" t="s">
        <v>985</v>
      </c>
      <c r="AK257" s="183"/>
      <c r="AL257" s="201" t="s">
        <v>985</v>
      </c>
      <c r="AM257" s="103" t="s">
        <v>978</v>
      </c>
      <c r="AN257" s="913" t="s">
        <v>2381</v>
      </c>
      <c r="AO257" s="917" t="s">
        <v>2057</v>
      </c>
      <c r="AP257" s="103" t="s">
        <v>1097</v>
      </c>
      <c r="AQ257" s="913" t="s">
        <v>2712</v>
      </c>
      <c r="AS257" s="104">
        <v>1500</v>
      </c>
      <c r="AT257" s="105">
        <v>1570</v>
      </c>
      <c r="AU257" s="405">
        <v>1</v>
      </c>
      <c r="AV257" s="405" t="s">
        <v>1826</v>
      </c>
      <c r="AW257" s="405">
        <f>VLOOKUP(Таблица7[[#This Row],[Основное оружие]], Оружие[#All], 2, 0)</f>
        <v>0</v>
      </c>
      <c r="AX257" s="405">
        <f>IF(ISBLANK(Таблица7[[#This Row],[Дополнительное оружие]]),"", VLOOKUP(Таблица7[[#This Row],[Дополнительное оружие]], Оружие[#All], 2, 0))</f>
        <v>5</v>
      </c>
      <c r="AY25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5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5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257" s="405">
        <f>VLOOKUP(Таблица7[[#This Row],[Основное оружие]], Оружие[#All], 3, 0)</f>
        <v>1</v>
      </c>
      <c r="BC257" s="405">
        <f>IF(ISBLANK(Таблица7[[#This Row],[Дополнительное оружие]]),"", VLOOKUP(Таблица7[[#This Row],[Дополнительное оружие]], Оружие[#All], 3, 0))</f>
        <v>3</v>
      </c>
      <c r="BD25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5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5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5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5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7" s="405">
        <f>Таблица7[[#This Row],[Броня]]+Таблица7[[#This Row],[Щит]]+Таблица7[[#This Row],[навык защиты]]</f>
        <v>3</v>
      </c>
      <c r="BK257" s="1006"/>
      <c r="BL257" s="1006"/>
      <c r="BM257" s="388"/>
      <c r="BN257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57" s="388">
        <v>2</v>
      </c>
      <c r="BP257" s="388">
        <v>1</v>
      </c>
      <c r="BQ257" s="388">
        <v>-1</v>
      </c>
      <c r="BR257" s="388">
        <v>2</v>
      </c>
      <c r="BS257" s="388">
        <v>1</v>
      </c>
      <c r="BT257" s="388">
        <v>6</v>
      </c>
      <c r="BU257" s="985" t="s">
        <v>1576</v>
      </c>
      <c r="BV257" s="985" t="s">
        <v>1842</v>
      </c>
      <c r="BW257" s="388"/>
      <c r="BX257" s="388"/>
      <c r="BY257" s="388"/>
      <c r="BZ257" s="106"/>
    </row>
    <row r="258" spans="1:78" s="104" customFormat="1" ht="40.5" customHeight="1" x14ac:dyDescent="0.25">
      <c r="A258" s="333">
        <v>257</v>
      </c>
      <c r="B258" s="300" t="s">
        <v>1342</v>
      </c>
      <c r="C258" s="917" t="s">
        <v>2755</v>
      </c>
      <c r="D258" s="103" t="s">
        <v>1556</v>
      </c>
      <c r="E258" s="103" t="s">
        <v>1570</v>
      </c>
      <c r="F258" s="103"/>
      <c r="G258" s="103"/>
      <c r="H258" s="103"/>
      <c r="I258" s="656">
        <v>0.75</v>
      </c>
      <c r="J258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58" s="611">
        <f>Таблица7[[#This Row],[Размер отряда минимум]]*1.25</f>
        <v>93.75</v>
      </c>
      <c r="L258" s="611">
        <f>Таблица7[[#This Row],[Размер отряда норма]]*1.5</f>
        <v>140.625</v>
      </c>
      <c r="M258" s="612">
        <f>Таблица7[[#This Row],[Размер отряда минимум]]*2.5</f>
        <v>187.5</v>
      </c>
      <c r="N258" s="612"/>
      <c r="O258" s="612"/>
      <c r="P258" s="612"/>
      <c r="Q258" s="612"/>
      <c r="R258" s="104" t="s">
        <v>15</v>
      </c>
      <c r="S258" s="913" t="s">
        <v>2696</v>
      </c>
      <c r="T258" s="103" t="s">
        <v>976</v>
      </c>
      <c r="U258" s="918" t="s">
        <v>2753</v>
      </c>
      <c r="V258" s="919" t="s">
        <v>2754</v>
      </c>
      <c r="W258" s="183" t="s">
        <v>1001</v>
      </c>
      <c r="X258" s="103" t="s">
        <v>1469</v>
      </c>
      <c r="Y258" s="103" t="s">
        <v>2056</v>
      </c>
      <c r="Z258" s="103" t="s">
        <v>1440</v>
      </c>
      <c r="AA258" s="917" t="s">
        <v>2020</v>
      </c>
      <c r="AB258" s="103"/>
      <c r="AC258" s="103"/>
      <c r="AD258" s="183" t="s">
        <v>985</v>
      </c>
      <c r="AE258" s="183"/>
      <c r="AF258" s="103" t="s">
        <v>991</v>
      </c>
      <c r="AG258" s="103"/>
      <c r="AH258" s="103" t="s">
        <v>985</v>
      </c>
      <c r="AI258" s="917" t="s">
        <v>1951</v>
      </c>
      <c r="AJ258" s="183" t="s">
        <v>985</v>
      </c>
      <c r="AK258" s="183"/>
      <c r="AL258" s="201" t="s">
        <v>985</v>
      </c>
      <c r="AM258" s="103" t="s">
        <v>977</v>
      </c>
      <c r="AN258" s="913" t="s">
        <v>2382</v>
      </c>
      <c r="AO258" s="945" t="s">
        <v>2062</v>
      </c>
      <c r="AP258" s="103" t="s">
        <v>1097</v>
      </c>
      <c r="AQ258" s="913" t="s">
        <v>2712</v>
      </c>
      <c r="AS258" s="104">
        <v>1570</v>
      </c>
      <c r="AT258" s="105"/>
      <c r="AU258" s="405">
        <v>2</v>
      </c>
      <c r="AV258" s="405" t="s">
        <v>1828</v>
      </c>
      <c r="AW258" s="405">
        <f>VLOOKUP(Таблица7[[#This Row],[Основное оружие]], Оружие[#All], 2, 0)</f>
        <v>0</v>
      </c>
      <c r="AX258" s="405">
        <f>IF(ISBLANK(Таблица7[[#This Row],[Дополнительное оружие]]),"", VLOOKUP(Таблица7[[#This Row],[Дополнительное оружие]], Оружие[#All], 2, 0))</f>
        <v>4</v>
      </c>
      <c r="AY25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5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5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258" s="405">
        <f>VLOOKUP(Таблица7[[#This Row],[Основное оружие]], Оружие[#All], 3, 0)</f>
        <v>1</v>
      </c>
      <c r="BC258" s="405">
        <f>IF(ISBLANK(Таблица7[[#This Row],[Дополнительное оружие]]),"", VLOOKUP(Таблица7[[#This Row],[Дополнительное оружие]], Оружие[#All], 3, 0))</f>
        <v>3</v>
      </c>
      <c r="BD25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5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5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5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5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8" s="405">
        <f>Таблица7[[#This Row],[Броня]]+Таблица7[[#This Row],[Щит]]+Таблица7[[#This Row],[навык защиты]]</f>
        <v>4</v>
      </c>
      <c r="BK258" s="1006"/>
      <c r="BL258" s="1006"/>
      <c r="BM258" s="388"/>
      <c r="BN258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58" s="388">
        <v>2</v>
      </c>
      <c r="BP258" s="388">
        <v>1</v>
      </c>
      <c r="BQ258" s="388">
        <v>-1</v>
      </c>
      <c r="BR258" s="388">
        <v>2</v>
      </c>
      <c r="BS258" s="388">
        <v>1</v>
      </c>
      <c r="BT258" s="388">
        <v>5</v>
      </c>
      <c r="BU258" s="985" t="s">
        <v>1839</v>
      </c>
      <c r="BV258" s="985" t="s">
        <v>1843</v>
      </c>
      <c r="BW258" s="388"/>
      <c r="BX258" s="388"/>
      <c r="BY258" s="388"/>
      <c r="BZ258" s="106"/>
    </row>
    <row r="259" spans="1:78" s="104" customFormat="1" ht="40.5" customHeight="1" x14ac:dyDescent="0.25">
      <c r="A259" s="333">
        <v>258</v>
      </c>
      <c r="B259" s="300" t="s">
        <v>1343</v>
      </c>
      <c r="C259" s="917" t="s">
        <v>2756</v>
      </c>
      <c r="D259" s="103" t="s">
        <v>1556</v>
      </c>
      <c r="E259" s="103" t="s">
        <v>1570</v>
      </c>
      <c r="F259" s="103"/>
      <c r="G259" s="103"/>
      <c r="H259" s="103"/>
      <c r="I259" s="656">
        <v>0.5</v>
      </c>
      <c r="J259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259" s="611">
        <f>Таблица7[[#This Row],[Размер отряда минимум]]*1.25</f>
        <v>62.5</v>
      </c>
      <c r="L259" s="611">
        <f>Таблица7[[#This Row],[Размер отряда норма]]*1.5</f>
        <v>93.75</v>
      </c>
      <c r="M259" s="612">
        <f>Таблица7[[#This Row],[Размер отряда минимум]]*2.5</f>
        <v>125</v>
      </c>
      <c r="N259" s="612"/>
      <c r="O259" s="612"/>
      <c r="P259" s="612"/>
      <c r="Q259" s="612"/>
      <c r="R259" s="104" t="s">
        <v>15</v>
      </c>
      <c r="S259" s="913" t="s">
        <v>2696</v>
      </c>
      <c r="T259" s="103" t="s">
        <v>976</v>
      </c>
      <c r="U259" s="918" t="s">
        <v>2757</v>
      </c>
      <c r="V259" s="919" t="s">
        <v>2758</v>
      </c>
      <c r="W259" s="183" t="s">
        <v>1001</v>
      </c>
      <c r="X259" s="103" t="s">
        <v>1696</v>
      </c>
      <c r="Y259" s="917" t="s">
        <v>1945</v>
      </c>
      <c r="Z259" s="103" t="s">
        <v>1440</v>
      </c>
      <c r="AA259" s="917" t="s">
        <v>2020</v>
      </c>
      <c r="AB259" s="103"/>
      <c r="AC259" s="103"/>
      <c r="AD259" s="183" t="s">
        <v>985</v>
      </c>
      <c r="AE259" s="183"/>
      <c r="AF259" s="103" t="s">
        <v>991</v>
      </c>
      <c r="AG259" s="917" t="s">
        <v>1951</v>
      </c>
      <c r="AH259" s="103" t="s">
        <v>985</v>
      </c>
      <c r="AI259" s="103"/>
      <c r="AJ259" s="183" t="s">
        <v>985</v>
      </c>
      <c r="AK259" s="183"/>
      <c r="AL259" s="201" t="s">
        <v>985</v>
      </c>
      <c r="AM259" s="103" t="s">
        <v>977</v>
      </c>
      <c r="AN259" s="913" t="s">
        <v>2382</v>
      </c>
      <c r="AO259" s="917" t="s">
        <v>2062</v>
      </c>
      <c r="AP259" s="103" t="s">
        <v>1097</v>
      </c>
      <c r="AQ259" s="913" t="s">
        <v>2712</v>
      </c>
      <c r="AS259" s="104">
        <v>1570</v>
      </c>
      <c r="AT259" s="105"/>
      <c r="AU259" s="405">
        <v>2</v>
      </c>
      <c r="AV259" s="405" t="s">
        <v>1826</v>
      </c>
      <c r="AW259" s="405">
        <f>VLOOKUP(Таблица7[[#This Row],[Основное оружие]], Оружие[#All], 2, 0)</f>
        <v>0</v>
      </c>
      <c r="AX259" s="405">
        <f>IF(ISBLANK(Таблица7[[#This Row],[Дополнительное оружие]]),"", VLOOKUP(Таблица7[[#This Row],[Дополнительное оружие]], Оружие[#All], 2, 0))</f>
        <v>4</v>
      </c>
      <c r="AY25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5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5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259" s="405">
        <f>VLOOKUP(Таблица7[[#This Row],[Основное оружие]], Оружие[#All], 3, 0)</f>
        <v>1</v>
      </c>
      <c r="BC259" s="405">
        <f>IF(ISBLANK(Таблица7[[#This Row],[Дополнительное оружие]]),"", VLOOKUP(Таблица7[[#This Row],[Дополнительное оружие]], Оружие[#All], 3, 0))</f>
        <v>3</v>
      </c>
      <c r="BD25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5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5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5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5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5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59" s="405">
        <f>Таблица7[[#This Row],[Броня]]+Таблица7[[#This Row],[Щит]]+Таблица7[[#This Row],[навык защиты]]</f>
        <v>4</v>
      </c>
      <c r="BK259" s="1006"/>
      <c r="BL259" s="1006"/>
      <c r="BM259" s="388"/>
      <c r="BN259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59" s="388">
        <v>2</v>
      </c>
      <c r="BP259" s="388">
        <v>1</v>
      </c>
      <c r="BQ259" s="388">
        <v>-1</v>
      </c>
      <c r="BR259" s="388">
        <v>2</v>
      </c>
      <c r="BS259" s="388">
        <v>1</v>
      </c>
      <c r="BT259" s="388">
        <v>5</v>
      </c>
      <c r="BU259" s="985" t="s">
        <v>1839</v>
      </c>
      <c r="BV259" s="985" t="s">
        <v>1843</v>
      </c>
      <c r="BW259" s="388"/>
      <c r="BX259" s="388"/>
      <c r="BY259" s="388"/>
      <c r="BZ259" s="106"/>
    </row>
    <row r="260" spans="1:78" s="104" customFormat="1" ht="40.5" customHeight="1" x14ac:dyDescent="0.25">
      <c r="A260" s="333">
        <v>259</v>
      </c>
      <c r="B260" s="300" t="s">
        <v>1344</v>
      </c>
      <c r="C260" s="917" t="s">
        <v>2759</v>
      </c>
      <c r="D260" s="103" t="s">
        <v>1555</v>
      </c>
      <c r="E260" s="103" t="s">
        <v>1570</v>
      </c>
      <c r="F260" s="103"/>
      <c r="G260" s="103"/>
      <c r="H260" s="103"/>
      <c r="I260" s="656">
        <v>0.75</v>
      </c>
      <c r="J260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260" s="611">
        <f>Таблица7[[#This Row],[Размер отряда минимум]]*1.25</f>
        <v>33.75</v>
      </c>
      <c r="L260" s="611">
        <f>Таблица7[[#This Row],[Размер отряда норма]]*1.5</f>
        <v>50.625</v>
      </c>
      <c r="M260" s="612">
        <f>Таблица7[[#This Row],[Размер отряда минимум]]*2.5</f>
        <v>67.5</v>
      </c>
      <c r="N260" s="612"/>
      <c r="O260" s="612"/>
      <c r="P260" s="612"/>
      <c r="Q260" s="612"/>
      <c r="R260" s="104" t="s">
        <v>15</v>
      </c>
      <c r="S260" s="913" t="s">
        <v>2696</v>
      </c>
      <c r="T260" s="103" t="s">
        <v>975</v>
      </c>
      <c r="U260" s="918" t="s">
        <v>2760</v>
      </c>
      <c r="V260" s="919" t="s">
        <v>2761</v>
      </c>
      <c r="W260" s="183" t="s">
        <v>984</v>
      </c>
      <c r="X260" s="103" t="s">
        <v>1692</v>
      </c>
      <c r="Y260" s="103" t="s">
        <v>1938</v>
      </c>
      <c r="Z260" s="103" t="s">
        <v>1036</v>
      </c>
      <c r="AA260" s="917" t="s">
        <v>1929</v>
      </c>
      <c r="AB260" s="103"/>
      <c r="AC260" s="103"/>
      <c r="AD260" s="183" t="s">
        <v>985</v>
      </c>
      <c r="AE260" s="183"/>
      <c r="AF260" s="103" t="s">
        <v>985</v>
      </c>
      <c r="AG260" s="103"/>
      <c r="AH260" s="103" t="s">
        <v>985</v>
      </c>
      <c r="AI260" s="103"/>
      <c r="AJ260" s="183" t="s">
        <v>985</v>
      </c>
      <c r="AK260" s="183"/>
      <c r="AL260" s="201" t="s">
        <v>985</v>
      </c>
      <c r="AM260" s="103" t="s">
        <v>978</v>
      </c>
      <c r="AN260" s="913" t="s">
        <v>992</v>
      </c>
      <c r="AO260" s="917" t="s">
        <v>1904</v>
      </c>
      <c r="AP260" s="103" t="s">
        <v>1097</v>
      </c>
      <c r="AQ260" s="913" t="s">
        <v>2712</v>
      </c>
      <c r="AS260" s="104">
        <v>1500</v>
      </c>
      <c r="AT260" s="105">
        <v>1550</v>
      </c>
      <c r="AU260" s="405">
        <v>4</v>
      </c>
      <c r="AV260" s="405" t="s">
        <v>1827</v>
      </c>
      <c r="AW260" s="405">
        <f>VLOOKUP(Таблица7[[#This Row],[Основное оружие]], Оружие[#All], 2, 0)</f>
        <v>8</v>
      </c>
      <c r="AX260" s="405">
        <f>IF(ISBLANK(Таблица7[[#This Row],[Дополнительное оружие]]),"", VLOOKUP(Таблица7[[#This Row],[Дополнительное оружие]], Оружие[#All], 2, 0))</f>
        <v>5</v>
      </c>
      <c r="AY26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6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26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260" s="405">
        <f>VLOOKUP(Таблица7[[#This Row],[Основное оружие]], Оружие[#All], 3, 0)</f>
        <v>1</v>
      </c>
      <c r="BC260" s="405">
        <f>IF(ISBLANK(Таблица7[[#This Row],[Дополнительное оружие]]),"", VLOOKUP(Таблица7[[#This Row],[Дополнительное оружие]], Оружие[#All], 3, 0))</f>
        <v>3</v>
      </c>
      <c r="BD26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6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6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6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0" s="405">
        <f>Таблица7[[#This Row],[Броня]]+Таблица7[[#This Row],[Щит]]+Таблица7[[#This Row],[навык защиты]]</f>
        <v>4</v>
      </c>
      <c r="BK260" s="1006"/>
      <c r="BL260" s="1006"/>
      <c r="BM260" s="388"/>
      <c r="BN260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60" s="388">
        <v>2</v>
      </c>
      <c r="BP260" s="388">
        <v>-2</v>
      </c>
      <c r="BQ260" s="388">
        <v>0</v>
      </c>
      <c r="BR260" s="388">
        <v>-4</v>
      </c>
      <c r="BS260" s="388">
        <v>-2</v>
      </c>
      <c r="BT260" s="388">
        <v>6</v>
      </c>
      <c r="BU260" s="985" t="s">
        <v>1839</v>
      </c>
      <c r="BV260" s="985" t="s">
        <v>1842</v>
      </c>
      <c r="BW260" s="388"/>
      <c r="BX260" s="388"/>
      <c r="BY260" s="388"/>
      <c r="BZ260" s="106"/>
    </row>
    <row r="261" spans="1:78" s="104" customFormat="1" ht="40.5" customHeight="1" x14ac:dyDescent="0.25">
      <c r="A261" s="333">
        <v>260</v>
      </c>
      <c r="B261" s="917" t="s">
        <v>2768</v>
      </c>
      <c r="C261" s="917" t="s">
        <v>2762</v>
      </c>
      <c r="D261" s="103" t="s">
        <v>1556</v>
      </c>
      <c r="E261" s="103" t="s">
        <v>1570</v>
      </c>
      <c r="F261" s="103"/>
      <c r="G261" s="103"/>
      <c r="H261" s="103"/>
      <c r="I261" s="656">
        <v>0.75</v>
      </c>
      <c r="J261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261" s="611">
        <f>Таблица7[[#This Row],[Размер отряда минимум]]*1.25</f>
        <v>84.375</v>
      </c>
      <c r="L261" s="611">
        <f>Таблица7[[#This Row],[Размер отряда норма]]*1.5</f>
        <v>126.5625</v>
      </c>
      <c r="M261" s="612">
        <f>Таблица7[[#This Row],[Размер отряда минимум]]*2.5</f>
        <v>168.75</v>
      </c>
      <c r="N261" s="612"/>
      <c r="O261" s="612"/>
      <c r="P261" s="612"/>
      <c r="Q261" s="612"/>
      <c r="R261" s="104" t="s">
        <v>15</v>
      </c>
      <c r="S261" s="913" t="s">
        <v>2696</v>
      </c>
      <c r="T261" s="103" t="s">
        <v>975</v>
      </c>
      <c r="U261" s="918" t="s">
        <v>2764</v>
      </c>
      <c r="V261" s="919" t="s">
        <v>2763</v>
      </c>
      <c r="W261" s="103" t="s">
        <v>1001</v>
      </c>
      <c r="X261" s="103" t="s">
        <v>1690</v>
      </c>
      <c r="Y261" s="917" t="s">
        <v>1943</v>
      </c>
      <c r="Z261" s="103" t="s">
        <v>1036</v>
      </c>
      <c r="AA261" s="917" t="s">
        <v>1929</v>
      </c>
      <c r="AB261" s="103"/>
      <c r="AC261" s="103"/>
      <c r="AD261" s="183" t="s">
        <v>985</v>
      </c>
      <c r="AE261" s="183"/>
      <c r="AF261" s="103" t="s">
        <v>985</v>
      </c>
      <c r="AG261" s="103"/>
      <c r="AH261" s="103" t="s">
        <v>985</v>
      </c>
      <c r="AI261" s="103"/>
      <c r="AJ261" s="183" t="s">
        <v>985</v>
      </c>
      <c r="AK261" s="183"/>
      <c r="AL261" s="201" t="s">
        <v>985</v>
      </c>
      <c r="AM261" s="103" t="s">
        <v>978</v>
      </c>
      <c r="AN261" s="913" t="s">
        <v>2381</v>
      </c>
      <c r="AO261" s="917" t="s">
        <v>2057</v>
      </c>
      <c r="AP261" s="103" t="s">
        <v>1097</v>
      </c>
      <c r="AQ261" s="913" t="s">
        <v>2712</v>
      </c>
      <c r="AS261" s="104">
        <v>1500</v>
      </c>
      <c r="AT261" s="105">
        <v>1550</v>
      </c>
      <c r="AU261" s="405">
        <v>3</v>
      </c>
      <c r="AV261" s="405" t="s">
        <v>1827</v>
      </c>
      <c r="AW261" s="405">
        <f>VLOOKUP(Таблица7[[#This Row],[Основное оружие]], Оружие[#All], 2, 0)</f>
        <v>0</v>
      </c>
      <c r="AX261" s="405">
        <f>IF(ISBLANK(Таблица7[[#This Row],[Дополнительное оружие]]),"", VLOOKUP(Таблица7[[#This Row],[Дополнительное оружие]], Оружие[#All], 2, 0))</f>
        <v>5</v>
      </c>
      <c r="AY26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6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6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261" s="405">
        <f>VLOOKUP(Таблица7[[#This Row],[Основное оружие]], Оружие[#All], 3, 0)</f>
        <v>1</v>
      </c>
      <c r="BC261" s="405">
        <f>IF(ISBLANK(Таблица7[[#This Row],[Дополнительное оружие]]),"", VLOOKUP(Таблица7[[#This Row],[Дополнительное оружие]], Оружие[#All], 3, 0))</f>
        <v>3</v>
      </c>
      <c r="BD26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6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6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6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1" s="405">
        <f>Таблица7[[#This Row],[Броня]]+Таблица7[[#This Row],[Щит]]+Таблица7[[#This Row],[навык защиты]]</f>
        <v>5</v>
      </c>
      <c r="BK261" s="1006"/>
      <c r="BL261" s="1006"/>
      <c r="BM261" s="388"/>
      <c r="BN261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61" s="388">
        <v>2</v>
      </c>
      <c r="BP261" s="388">
        <v>1</v>
      </c>
      <c r="BQ261" s="388">
        <v>-1</v>
      </c>
      <c r="BR261" s="388">
        <v>2</v>
      </c>
      <c r="BS261" s="388">
        <v>1</v>
      </c>
      <c r="BT261" s="388">
        <v>6</v>
      </c>
      <c r="BU261" s="985" t="s">
        <v>1576</v>
      </c>
      <c r="BV261" s="985" t="s">
        <v>1843</v>
      </c>
      <c r="BW261" s="388"/>
      <c r="BX261" s="388"/>
      <c r="BY261" s="388"/>
      <c r="BZ261" s="106"/>
    </row>
    <row r="262" spans="1:78" s="104" customFormat="1" ht="40.5" customHeight="1" x14ac:dyDescent="0.25">
      <c r="A262" s="333">
        <v>261</v>
      </c>
      <c r="B262" s="300" t="s">
        <v>1345</v>
      </c>
      <c r="C262" s="917" t="s">
        <v>2765</v>
      </c>
      <c r="D262" s="103" t="s">
        <v>1556</v>
      </c>
      <c r="E262" s="103" t="s">
        <v>1571</v>
      </c>
      <c r="F262" s="103"/>
      <c r="G262" s="103"/>
      <c r="H262" s="103"/>
      <c r="I262" s="656">
        <v>0.7</v>
      </c>
      <c r="J262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62.999999999999993</v>
      </c>
      <c r="K262" s="611">
        <f>Таблица7[[#This Row],[Размер отряда минимум]]*1.25</f>
        <v>78.749999999999986</v>
      </c>
      <c r="L262" s="611">
        <f>Таблица7[[#This Row],[Размер отряда норма]]*1.5</f>
        <v>118.12499999999997</v>
      </c>
      <c r="M262" s="612">
        <f>Таблица7[[#This Row],[Размер отряда минимум]]*2.5</f>
        <v>157.49999999999997</v>
      </c>
      <c r="N262" s="612"/>
      <c r="O262" s="612"/>
      <c r="P262" s="612"/>
      <c r="Q262" s="612"/>
      <c r="R262" s="104" t="s">
        <v>15</v>
      </c>
      <c r="S262" s="913" t="s">
        <v>2696</v>
      </c>
      <c r="T262" s="103" t="s">
        <v>975</v>
      </c>
      <c r="U262" s="918" t="s">
        <v>2766</v>
      </c>
      <c r="V262" s="919" t="s">
        <v>2767</v>
      </c>
      <c r="W262" s="103" t="s">
        <v>1001</v>
      </c>
      <c r="X262" s="103" t="s">
        <v>1690</v>
      </c>
      <c r="Y262" s="917" t="s">
        <v>1943</v>
      </c>
      <c r="Z262" s="103" t="s">
        <v>1036</v>
      </c>
      <c r="AA262" s="917" t="s">
        <v>1929</v>
      </c>
      <c r="AB262" s="103"/>
      <c r="AC262" s="103"/>
      <c r="AD262" s="739" t="s">
        <v>1158</v>
      </c>
      <c r="AE262" s="739" t="s">
        <v>1962</v>
      </c>
      <c r="AF262" s="103" t="s">
        <v>1211</v>
      </c>
      <c r="AG262" s="163" t="s">
        <v>1963</v>
      </c>
      <c r="AH262" s="163" t="s">
        <v>985</v>
      </c>
      <c r="AI262" s="163"/>
      <c r="AJ262" s="183" t="s">
        <v>985</v>
      </c>
      <c r="AK262" s="183"/>
      <c r="AL262" s="201" t="s">
        <v>985</v>
      </c>
      <c r="AM262" s="103" t="s">
        <v>977</v>
      </c>
      <c r="AN262" s="913" t="s">
        <v>1908</v>
      </c>
      <c r="AO262" s="917" t="s">
        <v>1909</v>
      </c>
      <c r="AP262" s="103" t="s">
        <v>1097</v>
      </c>
      <c r="AQ262" s="913" t="s">
        <v>2712</v>
      </c>
      <c r="AS262" s="104">
        <v>1500</v>
      </c>
      <c r="AT262" s="105">
        <v>1550</v>
      </c>
      <c r="AU262" s="405">
        <v>4</v>
      </c>
      <c r="AV262" s="405" t="s">
        <v>1827</v>
      </c>
      <c r="AW262" s="405">
        <f>VLOOKUP(Таблица7[[#This Row],[Основное оружие]], Оружие[#All], 2, 0)</f>
        <v>0</v>
      </c>
      <c r="AX262" s="405">
        <f>IF(ISBLANK(Таблица7[[#This Row],[Дополнительное оружие]]),"", VLOOKUP(Таблица7[[#This Row],[Дополнительное оружие]], Оружие[#All], 2, 0))</f>
        <v>5</v>
      </c>
      <c r="AY26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6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6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62" s="405">
        <f>VLOOKUP(Таблица7[[#This Row],[Основное оружие]], Оружие[#All], 3, 0)</f>
        <v>1</v>
      </c>
      <c r="BC262" s="405">
        <f>IF(ISBLANK(Таблица7[[#This Row],[Дополнительное оружие]]),"", VLOOKUP(Таблица7[[#This Row],[Дополнительное оружие]], Оружие[#All], 3, 0))</f>
        <v>3</v>
      </c>
      <c r="BD26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6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6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6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2" s="405">
        <f>Таблица7[[#This Row],[Броня]]+Таблица7[[#This Row],[Щит]]+Таблица7[[#This Row],[навык защиты]]</f>
        <v>17</v>
      </c>
      <c r="BK262" s="1006"/>
      <c r="BL262" s="1006"/>
      <c r="BM262" s="388"/>
      <c r="BN262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62" s="388">
        <v>2</v>
      </c>
      <c r="BP262" s="388">
        <v>1</v>
      </c>
      <c r="BQ262" s="388">
        <v>-1</v>
      </c>
      <c r="BR262" s="388">
        <v>2</v>
      </c>
      <c r="BS262" s="388">
        <v>1</v>
      </c>
      <c r="BT262" s="388">
        <v>6</v>
      </c>
      <c r="BU262" s="985" t="s">
        <v>1576</v>
      </c>
      <c r="BV262" s="985" t="s">
        <v>1843</v>
      </c>
      <c r="BW262" s="388"/>
      <c r="BX262" s="388"/>
      <c r="BY262" s="388"/>
      <c r="BZ262" s="106"/>
    </row>
    <row r="263" spans="1:78" s="104" customFormat="1" ht="40.5" customHeight="1" x14ac:dyDescent="0.25">
      <c r="A263" s="333">
        <v>262</v>
      </c>
      <c r="B263" s="917" t="s">
        <v>2769</v>
      </c>
      <c r="C263" s="917" t="s">
        <v>2770</v>
      </c>
      <c r="D263" s="103" t="s">
        <v>1556</v>
      </c>
      <c r="E263" s="103" t="s">
        <v>1570</v>
      </c>
      <c r="F263" s="103"/>
      <c r="G263" s="103"/>
      <c r="H263" s="103"/>
      <c r="I263" s="656">
        <v>0.75</v>
      </c>
      <c r="J263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263" s="611">
        <f>Таблица7[[#This Row],[Размер отряда минимум]]*1.25</f>
        <v>93.75</v>
      </c>
      <c r="L263" s="611">
        <f>Таблица7[[#This Row],[Размер отряда норма]]*1.5</f>
        <v>140.625</v>
      </c>
      <c r="M263" s="612">
        <f>Таблица7[[#This Row],[Размер отряда минимум]]*2.5</f>
        <v>187.5</v>
      </c>
      <c r="N263" s="612"/>
      <c r="O263" s="612"/>
      <c r="P263" s="612"/>
      <c r="Q263" s="612"/>
      <c r="R263" s="104" t="s">
        <v>15</v>
      </c>
      <c r="S263" s="913" t="s">
        <v>2696</v>
      </c>
      <c r="T263" s="103" t="s">
        <v>976</v>
      </c>
      <c r="U263" s="918" t="s">
        <v>2772</v>
      </c>
      <c r="V263" s="919" t="s">
        <v>2771</v>
      </c>
      <c r="W263" s="103" t="s">
        <v>1001</v>
      </c>
      <c r="X263" s="103" t="s">
        <v>1690</v>
      </c>
      <c r="Y263" s="917" t="s">
        <v>1943</v>
      </c>
      <c r="Z263" s="248" t="s">
        <v>1440</v>
      </c>
      <c r="AA263" s="917" t="s">
        <v>2020</v>
      </c>
      <c r="AB263" s="248"/>
      <c r="AC263" s="248"/>
      <c r="AD263" s="183" t="s">
        <v>985</v>
      </c>
      <c r="AE263" s="183"/>
      <c r="AF263" s="103" t="s">
        <v>991</v>
      </c>
      <c r="AG263" s="917" t="s">
        <v>1951</v>
      </c>
      <c r="AH263" s="163" t="s">
        <v>985</v>
      </c>
      <c r="AI263" s="163"/>
      <c r="AJ263" s="183" t="s">
        <v>985</v>
      </c>
      <c r="AK263" s="183"/>
      <c r="AL263" s="201" t="s">
        <v>985</v>
      </c>
      <c r="AM263" s="103" t="s">
        <v>977</v>
      </c>
      <c r="AN263" s="913" t="s">
        <v>2382</v>
      </c>
      <c r="AO263" s="917" t="s">
        <v>2062</v>
      </c>
      <c r="AP263" s="103" t="s">
        <v>1104</v>
      </c>
      <c r="AQ263" s="917" t="s">
        <v>2773</v>
      </c>
      <c r="AS263" s="104">
        <v>1550</v>
      </c>
      <c r="AT263" s="105"/>
      <c r="AU263" s="405">
        <v>3</v>
      </c>
      <c r="AV263" s="405" t="s">
        <v>1828</v>
      </c>
      <c r="AW263" s="405">
        <f>VLOOKUP(Таблица7[[#This Row],[Основное оружие]], Оружие[#All], 2, 0)</f>
        <v>0</v>
      </c>
      <c r="AX263" s="405">
        <f>IF(ISBLANK(Таблица7[[#This Row],[Дополнительное оружие]]),"", VLOOKUP(Таблица7[[#This Row],[Дополнительное оружие]], Оружие[#All], 2, 0))</f>
        <v>4</v>
      </c>
      <c r="AY26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6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6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63" s="405">
        <f>VLOOKUP(Таблица7[[#This Row],[Основное оружие]], Оружие[#All], 3, 0)</f>
        <v>1</v>
      </c>
      <c r="BC263" s="405">
        <f>IF(ISBLANK(Таблица7[[#This Row],[Дополнительное оружие]]),"", VLOOKUP(Таблица7[[#This Row],[Дополнительное оружие]], Оружие[#All], 3, 0))</f>
        <v>3</v>
      </c>
      <c r="BD26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6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6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6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3" s="405">
        <f>Таблица7[[#This Row],[Броня]]+Таблица7[[#This Row],[Щит]]+Таблица7[[#This Row],[навык защиты]]</f>
        <v>5</v>
      </c>
      <c r="BK263" s="1006"/>
      <c r="BL263" s="1006"/>
      <c r="BM263" s="388"/>
      <c r="BN263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63" s="388">
        <v>2</v>
      </c>
      <c r="BP263" s="388">
        <v>1</v>
      </c>
      <c r="BQ263" s="388">
        <v>-1</v>
      </c>
      <c r="BR263" s="388">
        <v>2</v>
      </c>
      <c r="BS263" s="388">
        <v>1</v>
      </c>
      <c r="BT263" s="388">
        <v>5</v>
      </c>
      <c r="BU263" s="985" t="s">
        <v>1576</v>
      </c>
      <c r="BV263" s="985" t="s">
        <v>1843</v>
      </c>
      <c r="BW263" s="388"/>
      <c r="BX263" s="388"/>
      <c r="BY263" s="388"/>
      <c r="BZ263" s="106"/>
    </row>
    <row r="264" spans="1:78" s="104" customFormat="1" ht="40.5" customHeight="1" x14ac:dyDescent="0.25">
      <c r="A264" s="333">
        <v>263</v>
      </c>
      <c r="B264" s="917" t="s">
        <v>2774</v>
      </c>
      <c r="C264" s="917" t="s">
        <v>2776</v>
      </c>
      <c r="D264" s="103" t="s">
        <v>1555</v>
      </c>
      <c r="E264" s="103" t="s">
        <v>1547</v>
      </c>
      <c r="F264" s="103"/>
      <c r="G264" s="103"/>
      <c r="H264" s="103"/>
      <c r="I264" s="656">
        <v>0.5</v>
      </c>
      <c r="J264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264" s="611">
        <f>Таблица7[[#This Row],[Размер отряда минимум]]*1.25</f>
        <v>12.5</v>
      </c>
      <c r="L264" s="611">
        <f>Таблица7[[#This Row],[Размер отряда норма]]*1.5</f>
        <v>18.75</v>
      </c>
      <c r="M264" s="612">
        <f>Таблица7[[#This Row],[Размер отряда минимум]]*2.5</f>
        <v>25</v>
      </c>
      <c r="N264" s="612"/>
      <c r="O264" s="612"/>
      <c r="P264" s="612"/>
      <c r="Q264" s="612"/>
      <c r="R264" s="104" t="s">
        <v>15</v>
      </c>
      <c r="S264" s="913" t="s">
        <v>2696</v>
      </c>
      <c r="T264" s="104" t="s">
        <v>975</v>
      </c>
      <c r="U264" s="918" t="s">
        <v>2775</v>
      </c>
      <c r="V264" s="919" t="s">
        <v>2779</v>
      </c>
      <c r="W264" s="104" t="s">
        <v>1001</v>
      </c>
      <c r="X264" s="103" t="s">
        <v>2105</v>
      </c>
      <c r="Y264" s="103" t="s">
        <v>2024</v>
      </c>
      <c r="Z264" s="103" t="s">
        <v>1036</v>
      </c>
      <c r="AA264" s="103" t="s">
        <v>1929</v>
      </c>
      <c r="AD264" s="184" t="s">
        <v>1004</v>
      </c>
      <c r="AE264" s="918" t="s">
        <v>1952</v>
      </c>
      <c r="AF264" s="104" t="s">
        <v>985</v>
      </c>
      <c r="AH264" s="104" t="s">
        <v>985</v>
      </c>
      <c r="AJ264" s="184" t="s">
        <v>985</v>
      </c>
      <c r="AK264" s="184"/>
      <c r="AL264" s="201" t="s">
        <v>1163</v>
      </c>
      <c r="AM264" s="104" t="s">
        <v>935</v>
      </c>
      <c r="AN264" s="104" t="s">
        <v>952</v>
      </c>
      <c r="AO264" s="917" t="s">
        <v>1871</v>
      </c>
      <c r="AP264" s="917" t="s">
        <v>952</v>
      </c>
      <c r="AQ264" s="917" t="s">
        <v>1871</v>
      </c>
      <c r="AS264" s="104">
        <v>1500</v>
      </c>
      <c r="AT264" s="105">
        <v>1565</v>
      </c>
      <c r="AU264" s="405">
        <v>10</v>
      </c>
      <c r="AV264" s="405"/>
      <c r="AW264" s="405">
        <f>VLOOKUP(Таблица7[[#This Row],[Основное оружие]], Оружие[#All], 2, 0)</f>
        <v>2</v>
      </c>
      <c r="AX264" s="405">
        <f>IF(ISBLANK(Таблица7[[#This Row],[Дополнительное оружие]]),"", VLOOKUP(Таблица7[[#This Row],[Дополнительное оружие]], Оружие[#All], 2, 0))</f>
        <v>5</v>
      </c>
      <c r="AY26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6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6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264" s="405">
        <f>VLOOKUP(Таблица7[[#This Row],[Основное оружие]], Оружие[#All], 3, 0)</f>
        <v>10</v>
      </c>
      <c r="BC264" s="405">
        <f>IF(ISBLANK(Таблица7[[#This Row],[Дополнительное оружие]]),"", VLOOKUP(Таблица7[[#This Row],[Дополнительное оружие]], Оружие[#All], 3, 0))</f>
        <v>3</v>
      </c>
      <c r="BD26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26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6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6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4" s="405">
        <f>Таблица7[[#This Row],[Броня]]+Таблица7[[#This Row],[Щит]]+Таблица7[[#This Row],[навык защиты]]</f>
        <v>29</v>
      </c>
      <c r="BK264" s="1006"/>
      <c r="BL264" s="1006"/>
      <c r="BM264" s="388"/>
      <c r="BN264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64" s="388">
        <v>2</v>
      </c>
      <c r="BP264" s="388">
        <v>-2</v>
      </c>
      <c r="BQ264" s="388">
        <v>0</v>
      </c>
      <c r="BR264" s="388">
        <v>-4</v>
      </c>
      <c r="BS264" s="388">
        <v>-2</v>
      </c>
      <c r="BT264" s="388">
        <v>11</v>
      </c>
      <c r="BU264" s="985" t="s">
        <v>1840</v>
      </c>
      <c r="BV264" s="985" t="s">
        <v>1844</v>
      </c>
      <c r="BW264" s="388"/>
      <c r="BX264" s="388"/>
      <c r="BY264" s="388"/>
      <c r="BZ264" s="106"/>
    </row>
    <row r="265" spans="1:78" s="104" customFormat="1" ht="40.5" customHeight="1" x14ac:dyDescent="0.25">
      <c r="A265" s="333">
        <v>264</v>
      </c>
      <c r="B265" s="300" t="s">
        <v>1346</v>
      </c>
      <c r="C265" s="917" t="s">
        <v>2777</v>
      </c>
      <c r="D265" s="103" t="s">
        <v>1555</v>
      </c>
      <c r="E265" s="103" t="s">
        <v>1547</v>
      </c>
      <c r="F265" s="103"/>
      <c r="G265" s="103"/>
      <c r="H265" s="103"/>
      <c r="I265" s="656">
        <v>0.5</v>
      </c>
      <c r="J265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265" s="611">
        <f>Таблица7[[#This Row],[Размер отряда минимум]]*1.25</f>
        <v>15</v>
      </c>
      <c r="L265" s="611">
        <f>Таблица7[[#This Row],[Размер отряда норма]]*1.5</f>
        <v>22.5</v>
      </c>
      <c r="M265" s="612">
        <f>Таблица7[[#This Row],[Размер отряда минимум]]*2.5</f>
        <v>30</v>
      </c>
      <c r="N265" s="612"/>
      <c r="O265" s="612"/>
      <c r="P265" s="612"/>
      <c r="Q265" s="612"/>
      <c r="R265" s="104" t="s">
        <v>15</v>
      </c>
      <c r="S265" s="913" t="s">
        <v>2696</v>
      </c>
      <c r="T265" s="104" t="s">
        <v>976</v>
      </c>
      <c r="U265" s="918" t="s">
        <v>2778</v>
      </c>
      <c r="V265" s="919" t="s">
        <v>2780</v>
      </c>
      <c r="W265" s="104" t="s">
        <v>1001</v>
      </c>
      <c r="X265" s="103" t="s">
        <v>1950</v>
      </c>
      <c r="Y265" s="103" t="s">
        <v>1949</v>
      </c>
      <c r="Z265" s="103" t="s">
        <v>1440</v>
      </c>
      <c r="AA265" s="103" t="s">
        <v>2020</v>
      </c>
      <c r="AD265" s="184" t="s">
        <v>1005</v>
      </c>
      <c r="AE265" s="184" t="s">
        <v>2031</v>
      </c>
      <c r="AF265" s="104" t="s">
        <v>985</v>
      </c>
      <c r="AH265" s="104" t="s">
        <v>985</v>
      </c>
      <c r="AJ265" s="184" t="s">
        <v>985</v>
      </c>
      <c r="AK265" s="184"/>
      <c r="AL265" s="201" t="s">
        <v>985</v>
      </c>
      <c r="AM265" s="104" t="s">
        <v>935</v>
      </c>
      <c r="AN265" s="104" t="s">
        <v>952</v>
      </c>
      <c r="AO265" s="917" t="s">
        <v>1871</v>
      </c>
      <c r="AP265" s="917" t="s">
        <v>952</v>
      </c>
      <c r="AQ265" s="917" t="s">
        <v>1871</v>
      </c>
      <c r="AS265" s="104">
        <v>1565</v>
      </c>
      <c r="AT265" s="105"/>
      <c r="AU265" s="405">
        <v>10</v>
      </c>
      <c r="AV265" s="405" t="s">
        <v>1828</v>
      </c>
      <c r="AW265" s="405">
        <f>VLOOKUP(Таблица7[[#This Row],[Основное оружие]], Оружие[#All], 2, 0)</f>
        <v>0</v>
      </c>
      <c r="AX265" s="405">
        <f>IF(ISBLANK(Таблица7[[#This Row],[Дополнительное оружие]]),"", VLOOKUP(Таблица7[[#This Row],[Дополнительное оружие]], Оружие[#All], 2, 0))</f>
        <v>4</v>
      </c>
      <c r="AY26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6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6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65" s="405">
        <f>VLOOKUP(Таблица7[[#This Row],[Основное оружие]], Оружие[#All], 3, 0)</f>
        <v>1</v>
      </c>
      <c r="BC265" s="405">
        <f>IF(ISBLANK(Таблица7[[#This Row],[Дополнительное оружие]]),"", VLOOKUP(Таблица7[[#This Row],[Дополнительное оружие]], Оружие[#All], 3, 0))</f>
        <v>3</v>
      </c>
      <c r="BD26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26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6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6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5" s="405">
        <f>Таблица7[[#This Row],[Броня]]+Таблица7[[#This Row],[Щит]]+Таблица7[[#This Row],[навык защиты]]</f>
        <v>28</v>
      </c>
      <c r="BK265" s="1006"/>
      <c r="BL265" s="1006"/>
      <c r="BM265" s="388"/>
      <c r="BN265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65" s="388">
        <v>2</v>
      </c>
      <c r="BP265" s="388">
        <v>-2</v>
      </c>
      <c r="BQ265" s="388">
        <v>0</v>
      </c>
      <c r="BR265" s="388">
        <v>-4</v>
      </c>
      <c r="BS265" s="388">
        <v>-2</v>
      </c>
      <c r="BT265" s="388">
        <v>11</v>
      </c>
      <c r="BU265" s="985" t="s">
        <v>1840</v>
      </c>
      <c r="BV265" s="985" t="s">
        <v>1844</v>
      </c>
      <c r="BW265" s="388"/>
      <c r="BX265" s="388"/>
      <c r="BY265" s="388"/>
      <c r="BZ265" s="106"/>
    </row>
    <row r="266" spans="1:78" s="104" customFormat="1" ht="40.5" customHeight="1" x14ac:dyDescent="0.25">
      <c r="A266" s="333">
        <v>265</v>
      </c>
      <c r="B266" s="917" t="s">
        <v>1347</v>
      </c>
      <c r="C266" s="917" t="s">
        <v>2781</v>
      </c>
      <c r="D266" s="103" t="s">
        <v>1556</v>
      </c>
      <c r="E266" s="103" t="s">
        <v>1572</v>
      </c>
      <c r="F266" s="103"/>
      <c r="G266" s="103"/>
      <c r="H266" s="103"/>
      <c r="I266" s="656">
        <v>0.75</v>
      </c>
      <c r="J266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60</v>
      </c>
      <c r="K266" s="611">
        <f>Таблица7[[#This Row],[Размер отряда минимум]]*1.25</f>
        <v>75</v>
      </c>
      <c r="L266" s="611">
        <f>Таблица7[[#This Row],[Размер отряда норма]]*1.5</f>
        <v>112.5</v>
      </c>
      <c r="M266" s="612">
        <f>Таблица7[[#This Row],[Размер отряда минимум]]*2.5</f>
        <v>150</v>
      </c>
      <c r="N266" s="612"/>
      <c r="O266" s="612"/>
      <c r="P266" s="612"/>
      <c r="Q266" s="612"/>
      <c r="R266" s="104" t="s">
        <v>15</v>
      </c>
      <c r="S266" s="913" t="s">
        <v>2696</v>
      </c>
      <c r="T266" s="104" t="s">
        <v>975</v>
      </c>
      <c r="U266" s="918" t="s">
        <v>2782</v>
      </c>
      <c r="V266" s="919" t="s">
        <v>2783</v>
      </c>
      <c r="W266" s="104" t="s">
        <v>1001</v>
      </c>
      <c r="X266" s="103" t="s">
        <v>1690</v>
      </c>
      <c r="Y266" s="917" t="s">
        <v>1943</v>
      </c>
      <c r="Z266" s="103" t="s">
        <v>1099</v>
      </c>
      <c r="AA266" s="917" t="s">
        <v>2714</v>
      </c>
      <c r="AB266" s="103"/>
      <c r="AC266" s="103"/>
      <c r="AD266" s="183" t="s">
        <v>1002</v>
      </c>
      <c r="AE266" s="918" t="s">
        <v>2025</v>
      </c>
      <c r="AF266" s="163" t="s">
        <v>985</v>
      </c>
      <c r="AG266" s="163"/>
      <c r="AH266" s="163" t="s">
        <v>985</v>
      </c>
      <c r="AI266" s="163"/>
      <c r="AJ266" s="103" t="s">
        <v>1004</v>
      </c>
      <c r="AK266" s="917" t="s">
        <v>1952</v>
      </c>
      <c r="AL266" s="201" t="s">
        <v>985</v>
      </c>
      <c r="AM266" s="917" t="s">
        <v>935</v>
      </c>
      <c r="AN266" s="913" t="s">
        <v>2383</v>
      </c>
      <c r="AO266" s="917" t="s">
        <v>1983</v>
      </c>
      <c r="AP266" s="917" t="s">
        <v>2735</v>
      </c>
      <c r="AQ266" s="917" t="s">
        <v>2784</v>
      </c>
      <c r="AS266" s="104">
        <v>1500</v>
      </c>
      <c r="AT266" s="105">
        <v>1565</v>
      </c>
      <c r="AU266" s="405">
        <v>9</v>
      </c>
      <c r="AV266" s="405" t="s">
        <v>1828</v>
      </c>
      <c r="AW266" s="405">
        <f>VLOOKUP(Таблица7[[#This Row],[Основное оружие]], Оружие[#All], 2, 0)</f>
        <v>0</v>
      </c>
      <c r="AX266" s="405">
        <f>IF(ISBLANK(Таблица7[[#This Row],[Дополнительное оружие]]),"", VLOOKUP(Таблица7[[#This Row],[Дополнительное оружие]], Оружие[#All], 2, 0))</f>
        <v>6</v>
      </c>
      <c r="AY26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26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6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266" s="405">
        <f>VLOOKUP(Таблица7[[#This Row],[Основное оружие]], Оружие[#All], 3, 0)</f>
        <v>1</v>
      </c>
      <c r="BC266" s="405">
        <f>IF(ISBLANK(Таблица7[[#This Row],[Дополнительное оружие]]),"", VLOOKUP(Таблица7[[#This Row],[Дополнительное оружие]], Оружие[#All], 3, 0))</f>
        <v>3</v>
      </c>
      <c r="BD26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26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6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6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6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9</v>
      </c>
      <c r="BI26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6" s="405">
        <f>Таблица7[[#This Row],[Броня]]+Таблица7[[#This Row],[Щит]]+Таблица7[[#This Row],[навык защиты]]</f>
        <v>29</v>
      </c>
      <c r="BK266" s="1006"/>
      <c r="BL266" s="1008" t="s">
        <v>1585</v>
      </c>
      <c r="BM266" s="388"/>
      <c r="BN266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66" s="388">
        <v>2</v>
      </c>
      <c r="BP266" s="388">
        <v>0</v>
      </c>
      <c r="BQ266" s="388">
        <v>-1</v>
      </c>
      <c r="BR266" s="388">
        <v>-1</v>
      </c>
      <c r="BS266" s="388">
        <v>1</v>
      </c>
      <c r="BT266" s="693" t="s">
        <v>1832</v>
      </c>
      <c r="BU266" s="985" t="s">
        <v>1840</v>
      </c>
      <c r="BV266" s="985" t="s">
        <v>1844</v>
      </c>
      <c r="BW266" s="388"/>
      <c r="BX266" s="388"/>
      <c r="BY266" s="388"/>
      <c r="BZ266" s="106"/>
    </row>
    <row r="267" spans="1:78" s="104" customFormat="1" ht="40.5" customHeight="1" x14ac:dyDescent="0.25">
      <c r="A267" s="333">
        <v>266</v>
      </c>
      <c r="B267" s="555" t="s">
        <v>1697</v>
      </c>
      <c r="C267" s="917" t="s">
        <v>2788</v>
      </c>
      <c r="D267" s="103" t="s">
        <v>1548</v>
      </c>
      <c r="E267" s="103" t="s">
        <v>1570</v>
      </c>
      <c r="F267" s="103"/>
      <c r="G267" s="103"/>
      <c r="H267" s="103"/>
      <c r="I267" s="656"/>
      <c r="J267" s="61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0</v>
      </c>
      <c r="K267" s="611">
        <f>Таблица7[[#This Row],[Размер отряда минимум]]*1.25</f>
        <v>0</v>
      </c>
      <c r="L267" s="611">
        <f>Таблица7[[#This Row],[Размер отряда норма]]*1.5</f>
        <v>0</v>
      </c>
      <c r="M267" s="612">
        <f>Таблица7[[#This Row],[Размер отряда минимум]]*2.5</f>
        <v>0</v>
      </c>
      <c r="N267" s="612"/>
      <c r="O267" s="612"/>
      <c r="P267" s="612"/>
      <c r="Q267" s="612"/>
      <c r="R267" s="104" t="s">
        <v>15</v>
      </c>
      <c r="S267" s="913" t="s">
        <v>2696</v>
      </c>
      <c r="T267" s="555" t="s">
        <v>1032</v>
      </c>
      <c r="U267" s="918" t="s">
        <v>2789</v>
      </c>
      <c r="V267" s="919" t="s">
        <v>2788</v>
      </c>
      <c r="W267" s="555" t="s">
        <v>1001</v>
      </c>
      <c r="X267" s="917" t="s">
        <v>2136</v>
      </c>
      <c r="Y267" s="917" t="s">
        <v>2785</v>
      </c>
      <c r="Z267" s="103"/>
      <c r="AA267" s="103"/>
      <c r="AB267" s="103"/>
      <c r="AC267" s="103"/>
      <c r="AD267" s="740" t="s">
        <v>985</v>
      </c>
      <c r="AE267" s="740"/>
      <c r="AF267" s="555" t="s">
        <v>1033</v>
      </c>
      <c r="AG267" s="555"/>
      <c r="AH267" s="555" t="s">
        <v>985</v>
      </c>
      <c r="AI267" s="555"/>
      <c r="AJ267" s="555" t="s">
        <v>985</v>
      </c>
      <c r="AK267" s="555"/>
      <c r="AL267" s="556" t="s">
        <v>985</v>
      </c>
      <c r="AM267" s="555" t="s">
        <v>977</v>
      </c>
      <c r="AN267" s="913" t="s">
        <v>1910</v>
      </c>
      <c r="AO267" s="917" t="s">
        <v>2062</v>
      </c>
      <c r="AP267" s="555" t="s">
        <v>1097</v>
      </c>
      <c r="AQ267" s="913" t="s">
        <v>2712</v>
      </c>
      <c r="AS267" s="104">
        <v>1500</v>
      </c>
      <c r="AT267" s="105"/>
      <c r="AU267" s="405">
        <v>1</v>
      </c>
      <c r="AV267" s="405" t="s">
        <v>1827</v>
      </c>
      <c r="AW267" s="405">
        <f>VLOOKUP(Таблица7[[#This Row],[Основное оружие]], Оружие[#All], 2, 0)</f>
        <v>0</v>
      </c>
      <c r="AX267" s="405" t="str">
        <f>IF(ISBLANK(Таблица7[[#This Row],[Дополнительное оружие]]),"", VLOOKUP(Таблица7[[#This Row],[Дополнительное оружие]], Оружие[#All], 2, 0))</f>
        <v/>
      </c>
      <c r="AY26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6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6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67" s="405">
        <f>VLOOKUP(Таблица7[[#This Row],[Основное оружие]], Оружие[#All], 3, 0)</f>
        <v>1</v>
      </c>
      <c r="BC267" s="405" t="str">
        <f>IF(ISBLANK(Таблица7[[#This Row],[Дополнительное оружие]]),"", VLOOKUP(Таблица7[[#This Row],[Дополнительное оружие]], Оружие[#All], 3, 0))</f>
        <v/>
      </c>
      <c r="BD26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6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</v>
      </c>
      <c r="BF26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6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7" s="405">
        <f>Таблица7[[#This Row],[Броня]]+Таблица7[[#This Row],[Щит]]+Таблица7[[#This Row],[навык защиты]]</f>
        <v>3</v>
      </c>
      <c r="BK267" s="1006"/>
      <c r="BL267" s="1008"/>
      <c r="BM267" s="388"/>
      <c r="BN267" s="98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67" s="388">
        <v>2</v>
      </c>
      <c r="BP267" s="388">
        <v>-1</v>
      </c>
      <c r="BQ267" s="388">
        <v>-2</v>
      </c>
      <c r="BR267" s="388">
        <v>-2</v>
      </c>
      <c r="BS267" s="388">
        <v>-2</v>
      </c>
      <c r="BT267" s="388">
        <v>10</v>
      </c>
      <c r="BU267" s="985" t="s">
        <v>1576</v>
      </c>
      <c r="BV267" s="985" t="s">
        <v>1843</v>
      </c>
      <c r="BW267" s="388"/>
      <c r="BX267" s="388"/>
      <c r="BY267" s="388"/>
      <c r="BZ267" s="106"/>
    </row>
    <row r="268" spans="1:78" s="108" customFormat="1" ht="40.5" customHeight="1" x14ac:dyDescent="0.25">
      <c r="A268" s="333">
        <v>267</v>
      </c>
      <c r="B268" s="301" t="s">
        <v>1348</v>
      </c>
      <c r="C268" s="301"/>
      <c r="D268" s="107" t="s">
        <v>1556</v>
      </c>
      <c r="E268" s="107" t="s">
        <v>1560</v>
      </c>
      <c r="F268" s="107"/>
      <c r="G268" s="107"/>
      <c r="H268" s="107"/>
      <c r="I268" s="657">
        <v>1</v>
      </c>
      <c r="J268" s="61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68" s="613">
        <f>Таблица7[[#This Row],[Размер отряда минимум]]*1.25</f>
        <v>112.5</v>
      </c>
      <c r="L268" s="613">
        <f>Таблица7[[#This Row],[Размер отряда норма]]*1.5</f>
        <v>168.75</v>
      </c>
      <c r="M268" s="614">
        <f>Таблица7[[#This Row],[Размер отряда минимум]]*2.5</f>
        <v>225</v>
      </c>
      <c r="N268" s="614"/>
      <c r="O268" s="614"/>
      <c r="P268" s="614"/>
      <c r="Q268" s="614"/>
      <c r="R268" s="107" t="s">
        <v>16</v>
      </c>
      <c r="S268" s="963" t="s">
        <v>2888</v>
      </c>
      <c r="T268" s="107" t="s">
        <v>975</v>
      </c>
      <c r="U268" s="741" t="s">
        <v>1501</v>
      </c>
      <c r="V268" s="246"/>
      <c r="W268" s="110" t="s">
        <v>984</v>
      </c>
      <c r="X268" s="345" t="s">
        <v>1059</v>
      </c>
      <c r="Y268" s="345"/>
      <c r="Z268" s="345"/>
      <c r="AA268" s="345"/>
      <c r="AB268" s="345" t="s">
        <v>1505</v>
      </c>
      <c r="AC268" s="345"/>
      <c r="AD268" s="741" t="s">
        <v>985</v>
      </c>
      <c r="AE268" s="741"/>
      <c r="AF268" s="107" t="s">
        <v>985</v>
      </c>
      <c r="AG268" s="107"/>
      <c r="AH268" s="107" t="s">
        <v>985</v>
      </c>
      <c r="AI268" s="107"/>
      <c r="AJ268" s="107" t="s">
        <v>985</v>
      </c>
      <c r="AK268" s="107"/>
      <c r="AL268" s="203" t="s">
        <v>985</v>
      </c>
      <c r="AM268" s="107" t="s">
        <v>935</v>
      </c>
      <c r="AN268" s="107" t="s">
        <v>955</v>
      </c>
      <c r="AO268" s="107"/>
      <c r="AP268" s="107" t="s">
        <v>1187</v>
      </c>
      <c r="AQ268" s="107"/>
      <c r="AR268" s="107"/>
      <c r="AS268" s="107">
        <v>1500</v>
      </c>
      <c r="AT268" s="111">
        <v>1550</v>
      </c>
      <c r="AU268" s="405">
        <v>2</v>
      </c>
      <c r="AV268" s="405"/>
      <c r="AW268" s="405">
        <f>VLOOKUP(Таблица7[[#This Row],[Основное оружие]], Оружие[#All], 2, 0)</f>
        <v>2</v>
      </c>
      <c r="AX268" s="405" t="str">
        <f>IF(ISBLANK(Таблица7[[#This Row],[Дополнительное оружие]]),"", VLOOKUP(Таблица7[[#This Row],[Дополнительное оружие]], Оружие[#All], 2, 0))</f>
        <v/>
      </c>
      <c r="AY26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6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26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68" s="405">
        <f>VLOOKUP(Таблица7[[#This Row],[Основное оружие]], Оружие[#All], 3, 0)</f>
        <v>3</v>
      </c>
      <c r="BC268" s="405" t="str">
        <f>IF(ISBLANK(Таблица7[[#This Row],[Дополнительное оружие]]),"", VLOOKUP(Таблица7[[#This Row],[Дополнительное оружие]], Оружие[#All], 3, 0))</f>
        <v/>
      </c>
      <c r="BD26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6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6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6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7</v>
      </c>
      <c r="BJ268" s="405">
        <f>Таблица7[[#This Row],[Броня]]+Таблица7[[#This Row],[Щит]]+Таблица7[[#This Row],[навык защиты]]</f>
        <v>11</v>
      </c>
      <c r="BK268" s="1006"/>
      <c r="BL268" s="1006"/>
      <c r="BM268" s="389"/>
      <c r="BN268" s="98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68" s="389">
        <v>1</v>
      </c>
      <c r="BP268" s="389">
        <v>0</v>
      </c>
      <c r="BQ268" s="389">
        <v>0</v>
      </c>
      <c r="BR268" s="389">
        <v>-1</v>
      </c>
      <c r="BS268" s="389">
        <v>0</v>
      </c>
      <c r="BT268" s="389">
        <v>2</v>
      </c>
      <c r="BU268" s="986" t="s">
        <v>1839</v>
      </c>
      <c r="BV268" s="986" t="s">
        <v>1842</v>
      </c>
      <c r="BW268" s="389"/>
      <c r="BX268" s="389"/>
      <c r="BY268" s="389"/>
      <c r="BZ268" s="112"/>
    </row>
    <row r="269" spans="1:78" s="108" customFormat="1" ht="40.5" customHeight="1" x14ac:dyDescent="0.25">
      <c r="A269" s="333">
        <v>268</v>
      </c>
      <c r="B269" s="301" t="s">
        <v>1348</v>
      </c>
      <c r="C269" s="301"/>
      <c r="D269" s="107" t="s">
        <v>1556</v>
      </c>
      <c r="E269" s="107" t="s">
        <v>1570</v>
      </c>
      <c r="F269" s="107"/>
      <c r="G269" s="107"/>
      <c r="H269" s="107"/>
      <c r="I269" s="657">
        <v>1</v>
      </c>
      <c r="J269" s="61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269" s="613">
        <f>Таблица7[[#This Row],[Размер отряда минимум]]*1.25</f>
        <v>125</v>
      </c>
      <c r="L269" s="613">
        <f>Таблица7[[#This Row],[Размер отряда норма]]*1.5</f>
        <v>187.5</v>
      </c>
      <c r="M269" s="614">
        <f>Таблица7[[#This Row],[Размер отряда минимум]]*2.5</f>
        <v>250</v>
      </c>
      <c r="N269" s="614"/>
      <c r="O269" s="614"/>
      <c r="P269" s="614"/>
      <c r="Q269" s="614"/>
      <c r="R269" s="107" t="s">
        <v>16</v>
      </c>
      <c r="S269" s="963" t="s">
        <v>2888</v>
      </c>
      <c r="T269" s="107" t="s">
        <v>976</v>
      </c>
      <c r="U269" s="741" t="s">
        <v>1176</v>
      </c>
      <c r="V269" s="246"/>
      <c r="W269" s="110" t="s">
        <v>984</v>
      </c>
      <c r="X269" s="107" t="s">
        <v>1469</v>
      </c>
      <c r="Y269" s="107"/>
      <c r="Z269" s="481" t="s">
        <v>1579</v>
      </c>
      <c r="AA269" s="481"/>
      <c r="AB269" s="107"/>
      <c r="AC269" s="107"/>
      <c r="AD269" s="741" t="s">
        <v>985</v>
      </c>
      <c r="AE269" s="741"/>
      <c r="AF269" s="107" t="s">
        <v>985</v>
      </c>
      <c r="AG269" s="107"/>
      <c r="AH269" s="107" t="s">
        <v>985</v>
      </c>
      <c r="AI269" s="107"/>
      <c r="AJ269" s="107" t="s">
        <v>985</v>
      </c>
      <c r="AK269" s="107"/>
      <c r="AL269" s="203" t="s">
        <v>985</v>
      </c>
      <c r="AM269" s="107" t="s">
        <v>935</v>
      </c>
      <c r="AN269" s="107" t="s">
        <v>955</v>
      </c>
      <c r="AO269" s="107"/>
      <c r="AP269" s="107" t="s">
        <v>1187</v>
      </c>
      <c r="AQ269" s="107"/>
      <c r="AR269" s="107"/>
      <c r="AS269" s="107">
        <v>1550</v>
      </c>
      <c r="AT269" s="111"/>
      <c r="AU269" s="405">
        <v>1</v>
      </c>
      <c r="AV269" s="405" t="s">
        <v>1827</v>
      </c>
      <c r="AW269" s="405">
        <f>VLOOKUP(Таблица7[[#This Row],[Основное оружие]], Оружие[#All], 2, 0)</f>
        <v>0</v>
      </c>
      <c r="AX269" s="405">
        <f>IF(ISBLANK(Таблица7[[#This Row],[Дополнительное оружие]]),"", VLOOKUP(Таблица7[[#This Row],[Дополнительное оружие]], Оружие[#All], 2, 0))</f>
        <v>1</v>
      </c>
      <c r="AY26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6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6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4</v>
      </c>
      <c r="BB269" s="405">
        <f>VLOOKUP(Таблица7[[#This Row],[Основное оружие]], Оружие[#All], 3, 0)</f>
        <v>1</v>
      </c>
      <c r="BC269" s="405">
        <f>IF(ISBLANK(Таблица7[[#This Row],[Дополнительное оружие]]),"", VLOOKUP(Таблица7[[#This Row],[Дополнительное оружие]], Оружие[#All], 3, 0))</f>
        <v>1</v>
      </c>
      <c r="BD26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6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6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6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6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6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69" s="405">
        <f>Таблица7[[#This Row],[Броня]]+Таблица7[[#This Row],[Щит]]+Таблица7[[#This Row],[навык защиты]]</f>
        <v>3</v>
      </c>
      <c r="BK269" s="1006"/>
      <c r="BL269" s="1006"/>
      <c r="BM269" s="389"/>
      <c r="BN269" s="98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69" s="389">
        <v>1</v>
      </c>
      <c r="BP269" s="389">
        <v>1</v>
      </c>
      <c r="BQ269" s="389">
        <v>0</v>
      </c>
      <c r="BR269" s="389">
        <v>2</v>
      </c>
      <c r="BS269" s="389">
        <v>0</v>
      </c>
      <c r="BT269" s="389">
        <v>2</v>
      </c>
      <c r="BU269" s="986" t="s">
        <v>1839</v>
      </c>
      <c r="BV269" s="986" t="s">
        <v>1842</v>
      </c>
      <c r="BW269" s="389"/>
      <c r="BX269" s="389"/>
      <c r="BY269" s="389"/>
      <c r="BZ269" s="112"/>
    </row>
    <row r="270" spans="1:78" s="108" customFormat="1" ht="40.5" customHeight="1" x14ac:dyDescent="0.25">
      <c r="A270" s="333">
        <v>269</v>
      </c>
      <c r="B270" s="301" t="s">
        <v>1349</v>
      </c>
      <c r="C270" s="301"/>
      <c r="D270" s="107" t="s">
        <v>1556</v>
      </c>
      <c r="E270" s="245" t="s">
        <v>1547</v>
      </c>
      <c r="F270" s="245"/>
      <c r="G270" s="245"/>
      <c r="H270" s="245"/>
      <c r="I270" s="657">
        <v>1</v>
      </c>
      <c r="J270" s="61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270" s="613">
        <f>Таблица7[[#This Row],[Размер отряда минимум]]*1.25</f>
        <v>100</v>
      </c>
      <c r="L270" s="613">
        <f>Таблица7[[#This Row],[Размер отряда норма]]*1.5</f>
        <v>150</v>
      </c>
      <c r="M270" s="614">
        <f>Таблица7[[#This Row],[Размер отряда минимум]]*2.5</f>
        <v>200</v>
      </c>
      <c r="N270" s="614"/>
      <c r="O270" s="614"/>
      <c r="P270" s="614"/>
      <c r="Q270" s="614"/>
      <c r="R270" s="107" t="s">
        <v>16</v>
      </c>
      <c r="S270" s="963" t="s">
        <v>2888</v>
      </c>
      <c r="T270" s="107" t="s">
        <v>975</v>
      </c>
      <c r="U270" s="742" t="s">
        <v>998</v>
      </c>
      <c r="V270" s="109"/>
      <c r="W270" s="110" t="s">
        <v>993</v>
      </c>
      <c r="X270" s="110" t="s">
        <v>996</v>
      </c>
      <c r="Y270" s="110"/>
      <c r="Z270" s="110"/>
      <c r="AA270" s="110"/>
      <c r="AB270" s="110"/>
      <c r="AC270" s="110"/>
      <c r="AD270" s="799" t="s">
        <v>1482</v>
      </c>
      <c r="AE270" s="799"/>
      <c r="AF270" s="108" t="s">
        <v>1481</v>
      </c>
      <c r="AH270" s="219" t="s">
        <v>985</v>
      </c>
      <c r="AI270" s="219"/>
      <c r="AJ270" s="108" t="s">
        <v>1004</v>
      </c>
      <c r="AL270" s="202" t="s">
        <v>985</v>
      </c>
      <c r="AM270" s="929" t="s">
        <v>935</v>
      </c>
      <c r="AN270" s="107" t="s">
        <v>1105</v>
      </c>
      <c r="AO270" s="107"/>
      <c r="AP270" s="245" t="s">
        <v>1189</v>
      </c>
      <c r="AQ270" s="245"/>
      <c r="AS270" s="108">
        <v>1500</v>
      </c>
      <c r="AT270" s="111">
        <v>1550</v>
      </c>
      <c r="AU270" s="405">
        <v>10</v>
      </c>
      <c r="AV270" s="405"/>
      <c r="AW270" s="405">
        <f>VLOOKUP(Таблица7[[#This Row],[Основное оружие]], Оружие[#All], 2, 0)</f>
        <v>7</v>
      </c>
      <c r="AX270" s="405" t="str">
        <f>IF(ISBLANK(Таблица7[[#This Row],[Дополнительное оружие]]),"", VLOOKUP(Таблица7[[#This Row],[Дополнительное оружие]], Оружие[#All], 2, 0))</f>
        <v/>
      </c>
      <c r="AY27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7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16</v>
      </c>
      <c r="BA27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70" s="405">
        <f>VLOOKUP(Таблица7[[#This Row],[Основное оружие]], Оружие[#All], 3, 0)</f>
        <v>3</v>
      </c>
      <c r="BC270" s="405" t="str">
        <f>IF(ISBLANK(Таблица7[[#This Row],[Дополнительное оружие]]),"", VLOOKUP(Таблица7[[#This Row],[Дополнительное оружие]], Оружие[#All], 3, 0))</f>
        <v/>
      </c>
      <c r="BD27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7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7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7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27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70" s="405">
        <f>Таблица7[[#This Row],[Броня]]+Таблица7[[#This Row],[Щит]]+Таблица7[[#This Row],[навык защиты]]</f>
        <v>27</v>
      </c>
      <c r="BK270" s="1006"/>
      <c r="BL270" s="1006"/>
      <c r="BM270" s="389"/>
      <c r="BN270" s="98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70" s="389">
        <v>1</v>
      </c>
      <c r="BP270" s="389">
        <v>0</v>
      </c>
      <c r="BQ270" s="389">
        <v>0</v>
      </c>
      <c r="BR270" s="389">
        <v>-1</v>
      </c>
      <c r="BS270" s="389">
        <v>0</v>
      </c>
      <c r="BT270" s="694" t="s">
        <v>1832</v>
      </c>
      <c r="BU270" s="986" t="s">
        <v>1840</v>
      </c>
      <c r="BV270" s="986" t="s">
        <v>1844</v>
      </c>
      <c r="BW270" s="389"/>
      <c r="BX270" s="389"/>
      <c r="BY270" s="389"/>
      <c r="BZ270" s="112"/>
    </row>
    <row r="271" spans="1:78" s="108" customFormat="1" ht="40.5" customHeight="1" x14ac:dyDescent="0.25">
      <c r="A271" s="333">
        <v>270</v>
      </c>
      <c r="B271" s="301" t="s">
        <v>1349</v>
      </c>
      <c r="C271" s="301"/>
      <c r="D271" s="107" t="s">
        <v>1556</v>
      </c>
      <c r="E271" s="245" t="s">
        <v>1547</v>
      </c>
      <c r="F271" s="245"/>
      <c r="G271" s="245"/>
      <c r="H271" s="245"/>
      <c r="I271" s="657">
        <v>1</v>
      </c>
      <c r="J271" s="61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71" s="613">
        <f>Таблица7[[#This Row],[Размер отряда минимум]]*1.25</f>
        <v>112.5</v>
      </c>
      <c r="L271" s="613">
        <f>Таблица7[[#This Row],[Размер отряда норма]]*1.5</f>
        <v>168.75</v>
      </c>
      <c r="M271" s="614">
        <f>Таблица7[[#This Row],[Размер отряда минимум]]*2.5</f>
        <v>225</v>
      </c>
      <c r="N271" s="614"/>
      <c r="O271" s="614"/>
      <c r="P271" s="614"/>
      <c r="Q271" s="614"/>
      <c r="R271" s="107" t="s">
        <v>16</v>
      </c>
      <c r="S271" s="963" t="s">
        <v>2888</v>
      </c>
      <c r="T271" s="107" t="s">
        <v>976</v>
      </c>
      <c r="U271" s="742" t="s">
        <v>998</v>
      </c>
      <c r="V271" s="109"/>
      <c r="W271" s="110" t="s">
        <v>993</v>
      </c>
      <c r="X271" s="110" t="s">
        <v>996</v>
      </c>
      <c r="Y271" s="110"/>
      <c r="Z271" s="110"/>
      <c r="AA271" s="110"/>
      <c r="AB271" s="110"/>
      <c r="AC271" s="110"/>
      <c r="AD271" s="799" t="s">
        <v>1482</v>
      </c>
      <c r="AE271" s="799"/>
      <c r="AF271" s="108" t="s">
        <v>1481</v>
      </c>
      <c r="AH271" s="219" t="s">
        <v>985</v>
      </c>
      <c r="AI271" s="219"/>
      <c r="AJ271" s="108" t="s">
        <v>1048</v>
      </c>
      <c r="AL271" s="203" t="s">
        <v>985</v>
      </c>
      <c r="AM271" s="929" t="s">
        <v>935</v>
      </c>
      <c r="AN271" s="107" t="s">
        <v>1105</v>
      </c>
      <c r="AO271" s="107"/>
      <c r="AP271" s="245" t="s">
        <v>1189</v>
      </c>
      <c r="AQ271" s="245"/>
      <c r="AS271" s="108">
        <v>1550</v>
      </c>
      <c r="AT271" s="111"/>
      <c r="AU271" s="405">
        <v>10</v>
      </c>
      <c r="AV271" s="405"/>
      <c r="AW271" s="405">
        <f>VLOOKUP(Таблица7[[#This Row],[Основное оружие]], Оружие[#All], 2, 0)</f>
        <v>7</v>
      </c>
      <c r="AX271" s="405" t="str">
        <f>IF(ISBLANK(Таблица7[[#This Row],[Дополнительное оружие]]),"", VLOOKUP(Таблица7[[#This Row],[Дополнительное оружие]], Оружие[#All], 2, 0))</f>
        <v/>
      </c>
      <c r="AY27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7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16</v>
      </c>
      <c r="BA27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71" s="405">
        <f>VLOOKUP(Таблица7[[#This Row],[Основное оружие]], Оружие[#All], 3, 0)</f>
        <v>3</v>
      </c>
      <c r="BC271" s="405" t="str">
        <f>IF(ISBLANK(Таблица7[[#This Row],[Дополнительное оружие]]),"", VLOOKUP(Таблица7[[#This Row],[Дополнительное оружие]], Оружие[#All], 3, 0))</f>
        <v/>
      </c>
      <c r="BD27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7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7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27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27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71" s="405">
        <f>Таблица7[[#This Row],[Броня]]+Таблица7[[#This Row],[Щит]]+Таблица7[[#This Row],[навык защиты]]</f>
        <v>27</v>
      </c>
      <c r="BK271" s="1006"/>
      <c r="BL271" s="1006"/>
      <c r="BM271" s="389"/>
      <c r="BN271" s="98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71" s="389">
        <v>1</v>
      </c>
      <c r="BP271" s="389">
        <v>0</v>
      </c>
      <c r="BQ271" s="389">
        <v>0</v>
      </c>
      <c r="BR271" s="389">
        <v>-1</v>
      </c>
      <c r="BS271" s="389">
        <v>0</v>
      </c>
      <c r="BT271" s="694" t="s">
        <v>1832</v>
      </c>
      <c r="BU271" s="986" t="s">
        <v>1840</v>
      </c>
      <c r="BV271" s="986" t="s">
        <v>1844</v>
      </c>
      <c r="BW271" s="389"/>
      <c r="BX271" s="389"/>
      <c r="BY271" s="389"/>
      <c r="BZ271" s="112"/>
    </row>
    <row r="272" spans="1:78" s="108" customFormat="1" ht="40.5" customHeight="1" x14ac:dyDescent="0.25">
      <c r="A272" s="333">
        <v>271</v>
      </c>
      <c r="B272" s="485" t="s">
        <v>1593</v>
      </c>
      <c r="C272" s="485"/>
      <c r="D272" s="245" t="s">
        <v>1555</v>
      </c>
      <c r="E272" s="245" t="s">
        <v>1547</v>
      </c>
      <c r="F272" s="245"/>
      <c r="G272" s="245"/>
      <c r="H272" s="245"/>
      <c r="I272" s="657">
        <v>0.5</v>
      </c>
      <c r="J272" s="61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272" s="613">
        <f>Таблица7[[#This Row],[Размер отряда минимум]]*1.25</f>
        <v>12.5</v>
      </c>
      <c r="L272" s="613">
        <f>Таблица7[[#This Row],[Размер отряда норма]]*1.5</f>
        <v>18.75</v>
      </c>
      <c r="M272" s="614">
        <f>Таблица7[[#This Row],[Размер отряда минимум]]*2.5</f>
        <v>25</v>
      </c>
      <c r="N272" s="614"/>
      <c r="O272" s="614"/>
      <c r="P272" s="614"/>
      <c r="Q272" s="614"/>
      <c r="R272" s="107" t="s">
        <v>16</v>
      </c>
      <c r="S272" s="963" t="s">
        <v>2888</v>
      </c>
      <c r="T272" s="245" t="s">
        <v>975</v>
      </c>
      <c r="U272" s="574" t="s">
        <v>1007</v>
      </c>
      <c r="V272" s="761"/>
      <c r="W272" s="742" t="s">
        <v>1001</v>
      </c>
      <c r="X272" s="245" t="s">
        <v>1528</v>
      </c>
      <c r="Y272" s="245"/>
      <c r="Z272" s="245" t="s">
        <v>1036</v>
      </c>
      <c r="AA272" s="245"/>
      <c r="AB272" s="245"/>
      <c r="AC272" s="245"/>
      <c r="AD272" s="574" t="s">
        <v>1004</v>
      </c>
      <c r="AE272" s="574"/>
      <c r="AF272" s="245" t="s">
        <v>985</v>
      </c>
      <c r="AG272" s="245"/>
      <c r="AH272" s="245" t="s">
        <v>985</v>
      </c>
      <c r="AI272" s="245"/>
      <c r="AJ272" s="245" t="s">
        <v>985</v>
      </c>
      <c r="AK272" s="245"/>
      <c r="AL272" s="203" t="s">
        <v>1163</v>
      </c>
      <c r="AM272" s="245" t="s">
        <v>935</v>
      </c>
      <c r="AN272" s="245" t="s">
        <v>952</v>
      </c>
      <c r="AO272" s="245"/>
      <c r="AP272" s="245" t="s">
        <v>1187</v>
      </c>
      <c r="AQ272" s="245"/>
      <c r="AR272" s="245"/>
      <c r="AS272" s="245">
        <v>1500</v>
      </c>
      <c r="AT272" s="111">
        <v>1565</v>
      </c>
      <c r="AU272" s="405">
        <v>10</v>
      </c>
      <c r="AV272" s="405"/>
      <c r="AW272" s="405">
        <f>VLOOKUP(Таблица7[[#This Row],[Основное оружие]], Оружие[#All], 2, 0)</f>
        <v>2</v>
      </c>
      <c r="AX272" s="405">
        <f>IF(ISBLANK(Таблица7[[#This Row],[Дополнительное оружие]]),"", VLOOKUP(Таблица7[[#This Row],[Дополнительное оружие]], Оружие[#All], 2, 0))</f>
        <v>5</v>
      </c>
      <c r="AY27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7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7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272" s="405">
        <f>VLOOKUP(Таблица7[[#This Row],[Основное оружие]], Оружие[#All], 3, 0)</f>
        <v>6</v>
      </c>
      <c r="BC272" s="405">
        <f>IF(ISBLANK(Таблица7[[#This Row],[Дополнительное оружие]]),"", VLOOKUP(Таблица7[[#This Row],[Дополнительное оружие]], Оружие[#All], 3, 0))</f>
        <v>3</v>
      </c>
      <c r="BD27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27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7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7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7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72" s="405">
        <f>Таблица7[[#This Row],[Броня]]+Таблица7[[#This Row],[Щит]]+Таблица7[[#This Row],[навык защиты]]</f>
        <v>29</v>
      </c>
      <c r="BK272" s="1006"/>
      <c r="BL272" s="1006"/>
      <c r="BM272" s="389"/>
      <c r="BN272" s="98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72" s="389">
        <v>1</v>
      </c>
      <c r="BP272" s="389">
        <v>-2</v>
      </c>
      <c r="BQ272" s="389">
        <v>0</v>
      </c>
      <c r="BR272" s="389">
        <v>-4</v>
      </c>
      <c r="BS272" s="389">
        <v>-2</v>
      </c>
      <c r="BT272" s="389">
        <v>11</v>
      </c>
      <c r="BU272" s="986" t="s">
        <v>1840</v>
      </c>
      <c r="BV272" s="986" t="s">
        <v>1844</v>
      </c>
      <c r="BW272" s="389"/>
      <c r="BX272" s="389"/>
      <c r="BY272" s="389"/>
      <c r="BZ272" s="112"/>
    </row>
    <row r="273" spans="1:78" s="108" customFormat="1" ht="40.5" customHeight="1" x14ac:dyDescent="0.25">
      <c r="A273" s="333">
        <v>272</v>
      </c>
      <c r="B273" s="485" t="s">
        <v>1593</v>
      </c>
      <c r="C273" s="485"/>
      <c r="D273" s="245" t="s">
        <v>1555</v>
      </c>
      <c r="E273" s="245" t="s">
        <v>1547</v>
      </c>
      <c r="F273" s="245"/>
      <c r="G273" s="245"/>
      <c r="H273" s="245"/>
      <c r="I273" s="657">
        <v>0.5</v>
      </c>
      <c r="J273" s="61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273" s="613">
        <f>Таблица7[[#This Row],[Размер отряда минимум]]*1.25</f>
        <v>15</v>
      </c>
      <c r="L273" s="613">
        <f>Таблица7[[#This Row],[Размер отряда норма]]*1.5</f>
        <v>22.5</v>
      </c>
      <c r="M273" s="614">
        <f>Таблица7[[#This Row],[Размер отряда минимум]]*2.5</f>
        <v>30</v>
      </c>
      <c r="N273" s="614"/>
      <c r="O273" s="614"/>
      <c r="P273" s="614"/>
      <c r="Q273" s="614"/>
      <c r="R273" s="107" t="s">
        <v>16</v>
      </c>
      <c r="S273" s="963" t="s">
        <v>2888</v>
      </c>
      <c r="T273" s="245" t="s">
        <v>976</v>
      </c>
      <c r="U273" s="574" t="s">
        <v>1007</v>
      </c>
      <c r="V273" s="761"/>
      <c r="W273" s="742" t="s">
        <v>1001</v>
      </c>
      <c r="X273" s="775" t="s">
        <v>1950</v>
      </c>
      <c r="Y273" s="245"/>
      <c r="Z273" s="245" t="s">
        <v>1440</v>
      </c>
      <c r="AA273" s="245"/>
      <c r="AB273" s="245"/>
      <c r="AC273" s="245"/>
      <c r="AD273" s="574" t="s">
        <v>1005</v>
      </c>
      <c r="AE273" s="574"/>
      <c r="AF273" s="245" t="s">
        <v>985</v>
      </c>
      <c r="AG273" s="245"/>
      <c r="AH273" s="245" t="s">
        <v>985</v>
      </c>
      <c r="AI273" s="245"/>
      <c r="AJ273" s="245" t="s">
        <v>985</v>
      </c>
      <c r="AK273" s="245"/>
      <c r="AL273" s="203" t="s">
        <v>985</v>
      </c>
      <c r="AM273" s="245" t="s">
        <v>935</v>
      </c>
      <c r="AN273" s="245" t="s">
        <v>952</v>
      </c>
      <c r="AO273" s="245"/>
      <c r="AP273" s="245" t="s">
        <v>1187</v>
      </c>
      <c r="AQ273" s="245"/>
      <c r="AR273" s="245"/>
      <c r="AS273" s="245">
        <v>1565</v>
      </c>
      <c r="AT273" s="111"/>
      <c r="AU273" s="405">
        <v>10</v>
      </c>
      <c r="AV273" s="405" t="s">
        <v>1828</v>
      </c>
      <c r="AW273" s="405">
        <f>VLOOKUP(Таблица7[[#This Row],[Основное оружие]], Оружие[#All], 2, 0)</f>
        <v>0</v>
      </c>
      <c r="AX273" s="405">
        <f>IF(ISBLANK(Таблица7[[#This Row],[Дополнительное оружие]]),"", VLOOKUP(Таблица7[[#This Row],[Дополнительное оружие]], Оружие[#All], 2, 0))</f>
        <v>4</v>
      </c>
      <c r="AY27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7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7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73" s="405">
        <f>VLOOKUP(Таблица7[[#This Row],[Основное оружие]], Оружие[#All], 3, 0)</f>
        <v>1</v>
      </c>
      <c r="BC273" s="405">
        <f>IF(ISBLANK(Таблица7[[#This Row],[Дополнительное оружие]]),"", VLOOKUP(Таблица7[[#This Row],[Дополнительное оружие]], Оружие[#All], 3, 0))</f>
        <v>3</v>
      </c>
      <c r="BD27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27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7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7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7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73" s="405">
        <f>Таблица7[[#This Row],[Броня]]+Таблица7[[#This Row],[Щит]]+Таблица7[[#This Row],[навык защиты]]</f>
        <v>28</v>
      </c>
      <c r="BK273" s="1006"/>
      <c r="BL273" s="1006"/>
      <c r="BM273" s="389"/>
      <c r="BN273" s="98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73" s="389">
        <v>1</v>
      </c>
      <c r="BP273" s="389">
        <v>-2</v>
      </c>
      <c r="BQ273" s="389">
        <v>0</v>
      </c>
      <c r="BR273" s="389">
        <v>-4</v>
      </c>
      <c r="BS273" s="389">
        <v>-2</v>
      </c>
      <c r="BT273" s="389">
        <v>11</v>
      </c>
      <c r="BU273" s="986" t="s">
        <v>1840</v>
      </c>
      <c r="BV273" s="986" t="s">
        <v>1844</v>
      </c>
      <c r="BW273" s="389"/>
      <c r="BX273" s="389"/>
      <c r="BY273" s="389"/>
      <c r="BZ273" s="112"/>
    </row>
    <row r="274" spans="1:78" s="113" customFormat="1" ht="40.5" customHeight="1" x14ac:dyDescent="0.25">
      <c r="A274" s="333">
        <v>273</v>
      </c>
      <c r="B274" s="302" t="s">
        <v>1350</v>
      </c>
      <c r="C274" s="302"/>
      <c r="D274" s="113" t="s">
        <v>1556</v>
      </c>
      <c r="E274" s="113" t="s">
        <v>1560</v>
      </c>
      <c r="I274" s="658">
        <v>1</v>
      </c>
      <c r="J274" s="61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74" s="615">
        <f>Таблица7[[#This Row],[Размер отряда минимум]]*1.25</f>
        <v>112.5</v>
      </c>
      <c r="L274" s="615">
        <f>Таблица7[[#This Row],[Размер отряда норма]]*1.5</f>
        <v>168.75</v>
      </c>
      <c r="M274" s="616">
        <f>Таблица7[[#This Row],[Размер отряда минимум]]*2.5</f>
        <v>225</v>
      </c>
      <c r="N274" s="616"/>
      <c r="O274" s="616"/>
      <c r="P274" s="616"/>
      <c r="Q274" s="616"/>
      <c r="R274" s="114" t="s">
        <v>17</v>
      </c>
      <c r="S274" s="964" t="s">
        <v>2889</v>
      </c>
      <c r="T274" s="113" t="s">
        <v>975</v>
      </c>
      <c r="U274" s="185" t="s">
        <v>1501</v>
      </c>
      <c r="V274" s="115"/>
      <c r="W274" s="185" t="s">
        <v>984</v>
      </c>
      <c r="X274" s="113" t="s">
        <v>1059</v>
      </c>
      <c r="AB274" s="113" t="s">
        <v>1505</v>
      </c>
      <c r="AD274" s="185" t="s">
        <v>985</v>
      </c>
      <c r="AE274" s="185"/>
      <c r="AF274" s="113" t="s">
        <v>985</v>
      </c>
      <c r="AH274" s="113" t="s">
        <v>985</v>
      </c>
      <c r="AJ274" s="113" t="s">
        <v>985</v>
      </c>
      <c r="AL274" s="204" t="s">
        <v>985</v>
      </c>
      <c r="AM274" s="113" t="s">
        <v>935</v>
      </c>
      <c r="AN274" s="113" t="s">
        <v>955</v>
      </c>
      <c r="AP274" s="242" t="s">
        <v>1187</v>
      </c>
      <c r="AQ274" s="242"/>
      <c r="AS274" s="113">
        <v>1500</v>
      </c>
      <c r="AT274" s="115">
        <v>1550</v>
      </c>
      <c r="AU274" s="405">
        <v>2</v>
      </c>
      <c r="AV274" s="405"/>
      <c r="AW274" s="405">
        <f>VLOOKUP(Таблица7[[#This Row],[Основное оружие]], Оружие[#All], 2, 0)</f>
        <v>2</v>
      </c>
      <c r="AX274" s="405" t="str">
        <f>IF(ISBLANK(Таблица7[[#This Row],[Дополнительное оружие]]),"", VLOOKUP(Таблица7[[#This Row],[Дополнительное оружие]], Оружие[#All], 2, 0))</f>
        <v/>
      </c>
      <c r="AY27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7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27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74" s="405">
        <f>VLOOKUP(Таблица7[[#This Row],[Основное оружие]], Оружие[#All], 3, 0)</f>
        <v>3</v>
      </c>
      <c r="BC274" s="405" t="str">
        <f>IF(ISBLANK(Таблица7[[#This Row],[Дополнительное оружие]]),"", VLOOKUP(Таблица7[[#This Row],[Дополнительное оружие]], Оружие[#All], 3, 0))</f>
        <v/>
      </c>
      <c r="BD27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7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7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7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7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7</v>
      </c>
      <c r="BJ274" s="405">
        <f>Таблица7[[#This Row],[Броня]]+Таблица7[[#This Row],[Щит]]+Таблица7[[#This Row],[навык защиты]]</f>
        <v>11</v>
      </c>
      <c r="BK274" s="1006"/>
      <c r="BL274" s="1006"/>
      <c r="BM274" s="390"/>
      <c r="BN274" s="98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74" s="390">
        <v>1</v>
      </c>
      <c r="BP274" s="390">
        <v>0</v>
      </c>
      <c r="BQ274" s="390">
        <v>0</v>
      </c>
      <c r="BR274" s="390">
        <v>-1</v>
      </c>
      <c r="BS274" s="390">
        <v>0</v>
      </c>
      <c r="BT274" s="390">
        <v>2</v>
      </c>
      <c r="BU274" s="987" t="s">
        <v>1839</v>
      </c>
      <c r="BV274" s="987" t="s">
        <v>1842</v>
      </c>
      <c r="BW274" s="390"/>
      <c r="BX274" s="390"/>
      <c r="BY274" s="390"/>
      <c r="BZ274" s="116"/>
    </row>
    <row r="275" spans="1:78" s="113" customFormat="1" ht="40.5" customHeight="1" x14ac:dyDescent="0.25">
      <c r="A275" s="333">
        <v>274</v>
      </c>
      <c r="B275" s="302" t="s">
        <v>1351</v>
      </c>
      <c r="C275" s="302"/>
      <c r="D275" s="113" t="s">
        <v>1556</v>
      </c>
      <c r="E275" s="113" t="s">
        <v>1570</v>
      </c>
      <c r="I275" s="658">
        <v>1</v>
      </c>
      <c r="J275" s="61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275" s="615">
        <f>Таблица7[[#This Row],[Размер отряда минимум]]*1.25</f>
        <v>125</v>
      </c>
      <c r="L275" s="615">
        <f>Таблица7[[#This Row],[Размер отряда норма]]*1.5</f>
        <v>187.5</v>
      </c>
      <c r="M275" s="616">
        <f>Таблица7[[#This Row],[Размер отряда минимум]]*2.5</f>
        <v>250</v>
      </c>
      <c r="N275" s="616"/>
      <c r="O275" s="616"/>
      <c r="P275" s="616"/>
      <c r="Q275" s="616"/>
      <c r="R275" s="114" t="s">
        <v>17</v>
      </c>
      <c r="S275" s="964" t="s">
        <v>2889</v>
      </c>
      <c r="T275" s="113" t="s">
        <v>976</v>
      </c>
      <c r="U275" s="185" t="s">
        <v>1176</v>
      </c>
      <c r="V275" s="115"/>
      <c r="W275" s="185" t="s">
        <v>984</v>
      </c>
      <c r="X275" s="113" t="s">
        <v>1469</v>
      </c>
      <c r="Z275" s="482" t="s">
        <v>1579</v>
      </c>
      <c r="AA275" s="482"/>
      <c r="AD275" s="185" t="s">
        <v>985</v>
      </c>
      <c r="AE275" s="185"/>
      <c r="AF275" s="113" t="s">
        <v>985</v>
      </c>
      <c r="AH275" s="113" t="s">
        <v>985</v>
      </c>
      <c r="AJ275" s="113" t="s">
        <v>985</v>
      </c>
      <c r="AL275" s="204" t="s">
        <v>985</v>
      </c>
      <c r="AM275" s="113" t="s">
        <v>935</v>
      </c>
      <c r="AN275" s="113" t="s">
        <v>955</v>
      </c>
      <c r="AP275" s="242" t="s">
        <v>1187</v>
      </c>
      <c r="AQ275" s="242"/>
      <c r="AS275" s="113">
        <v>1550</v>
      </c>
      <c r="AT275" s="115"/>
      <c r="AU275" s="405">
        <v>1</v>
      </c>
      <c r="AV275" s="405" t="s">
        <v>1827</v>
      </c>
      <c r="AW275" s="405">
        <f>VLOOKUP(Таблица7[[#This Row],[Основное оружие]], Оружие[#All], 2, 0)</f>
        <v>0</v>
      </c>
      <c r="AX275" s="405">
        <f>IF(ISBLANK(Таблица7[[#This Row],[Дополнительное оружие]]),"", VLOOKUP(Таблица7[[#This Row],[Дополнительное оружие]], Оружие[#All], 2, 0))</f>
        <v>1</v>
      </c>
      <c r="AY27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7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7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4</v>
      </c>
      <c r="BB275" s="405">
        <f>VLOOKUP(Таблица7[[#This Row],[Основное оружие]], Оружие[#All], 3, 0)</f>
        <v>1</v>
      </c>
      <c r="BC275" s="405">
        <f>IF(ISBLANK(Таблица7[[#This Row],[Дополнительное оружие]]),"", VLOOKUP(Таблица7[[#This Row],[Дополнительное оружие]], Оружие[#All], 3, 0))</f>
        <v>1</v>
      </c>
      <c r="BD27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7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7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7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7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75" s="405">
        <f>Таблица7[[#This Row],[Броня]]+Таблица7[[#This Row],[Щит]]+Таблица7[[#This Row],[навык защиты]]</f>
        <v>3</v>
      </c>
      <c r="BK275" s="1006"/>
      <c r="BL275" s="1006"/>
      <c r="BM275" s="390"/>
      <c r="BN275" s="98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75" s="390">
        <v>1</v>
      </c>
      <c r="BP275" s="390">
        <v>1</v>
      </c>
      <c r="BQ275" s="390">
        <v>0</v>
      </c>
      <c r="BR275" s="390">
        <v>2</v>
      </c>
      <c r="BS275" s="390">
        <v>0</v>
      </c>
      <c r="BT275" s="390">
        <v>2</v>
      </c>
      <c r="BU275" s="987" t="s">
        <v>1839</v>
      </c>
      <c r="BV275" s="987" t="s">
        <v>1842</v>
      </c>
      <c r="BW275" s="390"/>
      <c r="BX275" s="390"/>
      <c r="BY275" s="390"/>
      <c r="BZ275" s="116"/>
    </row>
    <row r="276" spans="1:78" s="113" customFormat="1" ht="40.5" customHeight="1" x14ac:dyDescent="0.25">
      <c r="A276" s="333">
        <v>275</v>
      </c>
      <c r="B276" s="302" t="s">
        <v>1352</v>
      </c>
      <c r="C276" s="302"/>
      <c r="D276" s="242" t="s">
        <v>1556</v>
      </c>
      <c r="E276" s="113" t="s">
        <v>1571</v>
      </c>
      <c r="I276" s="658">
        <v>1</v>
      </c>
      <c r="J276" s="61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76" s="615">
        <f>Таблица7[[#This Row],[Размер отряда минимум]]*1.25</f>
        <v>112.5</v>
      </c>
      <c r="L276" s="615">
        <f>Таблица7[[#This Row],[Размер отряда норма]]*1.5</f>
        <v>168.75</v>
      </c>
      <c r="M276" s="616">
        <f>Таблица7[[#This Row],[Размер отряда минимум]]*2.5</f>
        <v>225</v>
      </c>
      <c r="N276" s="616"/>
      <c r="O276" s="616"/>
      <c r="P276" s="616"/>
      <c r="Q276" s="616"/>
      <c r="R276" s="114" t="s">
        <v>17</v>
      </c>
      <c r="S276" s="964" t="s">
        <v>2889</v>
      </c>
      <c r="T276" s="242" t="s">
        <v>975</v>
      </c>
      <c r="U276" s="743" t="s">
        <v>1669</v>
      </c>
      <c r="V276" s="548"/>
      <c r="W276" s="242" t="s">
        <v>1001</v>
      </c>
      <c r="X276" s="242" t="s">
        <v>1694</v>
      </c>
      <c r="Y276" s="242"/>
      <c r="Z276" s="242" t="s">
        <v>1036</v>
      </c>
      <c r="AA276" s="242"/>
      <c r="AB276" s="417" t="s">
        <v>1453</v>
      </c>
      <c r="AC276" s="417"/>
      <c r="AD276" s="800" t="s">
        <v>1483</v>
      </c>
      <c r="AE276" s="800"/>
      <c r="AF276" s="361" t="s">
        <v>1211</v>
      </c>
      <c r="AG276" s="361"/>
      <c r="AH276" s="242" t="s">
        <v>985</v>
      </c>
      <c r="AI276" s="242"/>
      <c r="AJ276" s="412" t="s">
        <v>985</v>
      </c>
      <c r="AK276" s="412"/>
      <c r="AL276" s="244" t="s">
        <v>985</v>
      </c>
      <c r="AM276" s="242" t="s">
        <v>977</v>
      </c>
      <c r="AN276" s="242" t="s">
        <v>997</v>
      </c>
      <c r="AO276" s="242"/>
      <c r="AP276" s="242" t="s">
        <v>1187</v>
      </c>
      <c r="AQ276" s="242"/>
      <c r="AT276" s="115"/>
      <c r="AU276" s="405">
        <v>5</v>
      </c>
      <c r="AV276" s="405" t="s">
        <v>1828</v>
      </c>
      <c r="AW276" s="405">
        <f>VLOOKUP(Таблица7[[#This Row],[Основное оружие]], Оружие[#All], 2, 0)</f>
        <v>0</v>
      </c>
      <c r="AX276" s="405">
        <f>IF(ISBLANK(Таблица7[[#This Row],[Дополнительное оружие]]),"", VLOOKUP(Таблица7[[#This Row],[Дополнительное оружие]], Оружие[#All], 2, 0))</f>
        <v>5</v>
      </c>
      <c r="AY27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7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7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276" s="405">
        <f>VLOOKUP(Таблица7[[#This Row],[Основное оружие]], Оружие[#All], 3, 0)</f>
        <v>1</v>
      </c>
      <c r="BC276" s="405">
        <f>IF(ISBLANK(Таблица7[[#This Row],[Дополнительное оружие]]),"", VLOOKUP(Таблица7[[#This Row],[Дополнительное оружие]], Оружие[#All], 3, 0))</f>
        <v>3</v>
      </c>
      <c r="BD27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27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7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7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7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9</v>
      </c>
      <c r="BJ276" s="405">
        <f>Таблица7[[#This Row],[Броня]]+Таблица7[[#This Row],[Щит]]+Таблица7[[#This Row],[навык защиты]]</f>
        <v>25</v>
      </c>
      <c r="BK276" s="1006"/>
      <c r="BL276" s="1006"/>
      <c r="BM276" s="390"/>
      <c r="BN276" s="98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76" s="390">
        <v>1</v>
      </c>
      <c r="BP276" s="390">
        <v>1</v>
      </c>
      <c r="BQ276" s="390">
        <v>0</v>
      </c>
      <c r="BR276" s="390">
        <v>2</v>
      </c>
      <c r="BS276" s="390">
        <v>0</v>
      </c>
      <c r="BT276" s="390">
        <v>8</v>
      </c>
      <c r="BU276" s="987" t="s">
        <v>1576</v>
      </c>
      <c r="BV276" s="987" t="s">
        <v>1843</v>
      </c>
      <c r="BW276" s="390"/>
      <c r="BX276" s="390"/>
      <c r="BY276" s="390"/>
      <c r="BZ276" s="116"/>
    </row>
    <row r="277" spans="1:78" s="113" customFormat="1" ht="40.5" customHeight="1" x14ac:dyDescent="0.25">
      <c r="A277" s="333">
        <v>276</v>
      </c>
      <c r="B277" s="302" t="s">
        <v>1353</v>
      </c>
      <c r="C277" s="302"/>
      <c r="D277" s="242" t="s">
        <v>1555</v>
      </c>
      <c r="E277" s="242" t="s">
        <v>1547</v>
      </c>
      <c r="F277" s="242"/>
      <c r="G277" s="242"/>
      <c r="H277" s="242"/>
      <c r="I277" s="658">
        <v>0.8</v>
      </c>
      <c r="J277" s="61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16</v>
      </c>
      <c r="K277" s="615">
        <f>Таблица7[[#This Row],[Размер отряда минимум]]*1.25</f>
        <v>20</v>
      </c>
      <c r="L277" s="615">
        <f>Таблица7[[#This Row],[Размер отряда норма]]*1.5</f>
        <v>30</v>
      </c>
      <c r="M277" s="616">
        <f>Таблица7[[#This Row],[Размер отряда минимум]]*2.5</f>
        <v>40</v>
      </c>
      <c r="N277" s="616"/>
      <c r="O277" s="616"/>
      <c r="P277" s="616"/>
      <c r="Q277" s="616"/>
      <c r="R277" s="114" t="s">
        <v>17</v>
      </c>
      <c r="S277" s="964" t="s">
        <v>2889</v>
      </c>
      <c r="T277" s="242" t="s">
        <v>975</v>
      </c>
      <c r="U277" s="744" t="s">
        <v>1003</v>
      </c>
      <c r="V277" s="243"/>
      <c r="W277" s="242" t="s">
        <v>1001</v>
      </c>
      <c r="X277" s="242" t="s">
        <v>1528</v>
      </c>
      <c r="Y277" s="242"/>
      <c r="Z277" s="242" t="s">
        <v>1036</v>
      </c>
      <c r="AA277" s="242"/>
      <c r="AB277" s="242"/>
      <c r="AC277" s="242"/>
      <c r="AD277" s="185" t="s">
        <v>1002</v>
      </c>
      <c r="AE277" s="185"/>
      <c r="AF277" s="113" t="s">
        <v>985</v>
      </c>
      <c r="AH277" s="113" t="s">
        <v>985</v>
      </c>
      <c r="AJ277" s="113" t="s">
        <v>1004</v>
      </c>
      <c r="AL277" s="204" t="s">
        <v>1163</v>
      </c>
      <c r="AM277" s="113" t="s">
        <v>977</v>
      </c>
      <c r="AN277" s="113" t="s">
        <v>999</v>
      </c>
      <c r="AP277" s="242" t="s">
        <v>1187</v>
      </c>
      <c r="AQ277" s="242"/>
      <c r="AS277" s="113">
        <v>1500</v>
      </c>
      <c r="AT277" s="115">
        <v>1565</v>
      </c>
      <c r="AU277" s="405">
        <v>9</v>
      </c>
      <c r="AV277" s="405"/>
      <c r="AW277" s="405">
        <f>VLOOKUP(Таблица7[[#This Row],[Основное оружие]], Оружие[#All], 2, 0)</f>
        <v>2</v>
      </c>
      <c r="AX277" s="405">
        <f>IF(ISBLANK(Таблица7[[#This Row],[Дополнительное оружие]]),"", VLOOKUP(Таблица7[[#This Row],[Дополнительное оружие]], Оружие[#All], 2, 0))</f>
        <v>5</v>
      </c>
      <c r="AY27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27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27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77" s="405">
        <f>VLOOKUP(Таблица7[[#This Row],[Основное оружие]], Оружие[#All], 3, 0)</f>
        <v>6</v>
      </c>
      <c r="BC277" s="405">
        <f>IF(ISBLANK(Таблица7[[#This Row],[Дополнительное оружие]]),"", VLOOKUP(Таблица7[[#This Row],[Дополнительное оружие]], Оружие[#All], 3, 0))</f>
        <v>3</v>
      </c>
      <c r="BD27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27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7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7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7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27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77" s="405">
        <f>Таблица7[[#This Row],[Броня]]+Таблица7[[#This Row],[Щит]]+Таблица7[[#This Row],[навык защиты]]</f>
        <v>26</v>
      </c>
      <c r="BK277" s="1006"/>
      <c r="BL277" s="1006"/>
      <c r="BM277" s="390"/>
      <c r="BN277" s="98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77" s="390">
        <v>1</v>
      </c>
      <c r="BP277" s="390">
        <v>-2</v>
      </c>
      <c r="BQ277" s="390">
        <v>0</v>
      </c>
      <c r="BR277" s="390">
        <v>-4</v>
      </c>
      <c r="BS277" s="390">
        <v>-2</v>
      </c>
      <c r="BT277" s="390">
        <v>10</v>
      </c>
      <c r="BU277" s="987" t="s">
        <v>1576</v>
      </c>
      <c r="BV277" s="987" t="s">
        <v>1843</v>
      </c>
      <c r="BW277" s="390"/>
      <c r="BX277" s="390"/>
      <c r="BY277" s="390"/>
      <c r="BZ277" s="116"/>
    </row>
    <row r="278" spans="1:78" s="113" customFormat="1" ht="40.5" customHeight="1" x14ac:dyDescent="0.25">
      <c r="A278" s="333">
        <v>277</v>
      </c>
      <c r="B278" s="302" t="s">
        <v>1354</v>
      </c>
      <c r="C278" s="302"/>
      <c r="D278" s="242" t="s">
        <v>1555</v>
      </c>
      <c r="E278" s="113" t="s">
        <v>1547</v>
      </c>
      <c r="I278" s="658">
        <v>0.8</v>
      </c>
      <c r="J278" s="61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16</v>
      </c>
      <c r="K278" s="615">
        <f>Таблица7[[#This Row],[Размер отряда минимум]]*1.25</f>
        <v>20</v>
      </c>
      <c r="L278" s="615">
        <f>Таблица7[[#This Row],[Размер отряда норма]]*1.5</f>
        <v>30</v>
      </c>
      <c r="M278" s="616">
        <f>Таблица7[[#This Row],[Размер отряда минимум]]*2.5</f>
        <v>40</v>
      </c>
      <c r="N278" s="616"/>
      <c r="O278" s="616"/>
      <c r="P278" s="616"/>
      <c r="Q278" s="616"/>
      <c r="R278" s="114" t="s">
        <v>17</v>
      </c>
      <c r="S278" s="964" t="s">
        <v>2889</v>
      </c>
      <c r="T278" s="113" t="s">
        <v>975</v>
      </c>
      <c r="U278" s="185" t="s">
        <v>1003</v>
      </c>
      <c r="V278" s="115"/>
      <c r="W278" s="113" t="s">
        <v>1001</v>
      </c>
      <c r="X278" s="242" t="s">
        <v>1528</v>
      </c>
      <c r="Y278" s="242"/>
      <c r="Z278" s="242" t="s">
        <v>1439</v>
      </c>
      <c r="AA278" s="242"/>
      <c r="AB278" s="242"/>
      <c r="AC278" s="242"/>
      <c r="AD278" s="185" t="s">
        <v>1002</v>
      </c>
      <c r="AE278" s="185"/>
      <c r="AF278" s="113" t="s">
        <v>985</v>
      </c>
      <c r="AH278" s="113" t="s">
        <v>985</v>
      </c>
      <c r="AJ278" s="113" t="s">
        <v>1004</v>
      </c>
      <c r="AL278" s="204" t="s">
        <v>1163</v>
      </c>
      <c r="AM278" s="113" t="s">
        <v>977</v>
      </c>
      <c r="AN278" s="242" t="s">
        <v>992</v>
      </c>
      <c r="AO278" s="242"/>
      <c r="AP278" s="242" t="s">
        <v>1187</v>
      </c>
      <c r="AQ278" s="242"/>
      <c r="AS278" s="113">
        <v>1500</v>
      </c>
      <c r="AT278" s="115">
        <v>1565</v>
      </c>
      <c r="AU278" s="405">
        <v>8</v>
      </c>
      <c r="AV278" s="405"/>
      <c r="AW278" s="405">
        <f>VLOOKUP(Таблица7[[#This Row],[Основное оружие]], Оружие[#All], 2, 0)</f>
        <v>2</v>
      </c>
      <c r="AX278" s="405">
        <f>IF(ISBLANK(Таблица7[[#This Row],[Дополнительное оружие]]),"", VLOOKUP(Таблица7[[#This Row],[Дополнительное оружие]], Оружие[#All], 2, 0))</f>
        <v>3</v>
      </c>
      <c r="AY27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27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27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278" s="405">
        <f>VLOOKUP(Таблица7[[#This Row],[Основное оружие]], Оружие[#All], 3, 0)</f>
        <v>6</v>
      </c>
      <c r="BC278" s="405">
        <f>IF(ISBLANK(Таблица7[[#This Row],[Дополнительное оружие]]),"", VLOOKUP(Таблица7[[#This Row],[Дополнительное оружие]], Оружие[#All], 3, 0))</f>
        <v>3</v>
      </c>
      <c r="BD27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27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7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7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7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78" s="405">
        <f>Таблица7[[#This Row],[Броня]]+Таблица7[[#This Row],[Щит]]+Таблица7[[#This Row],[навык защиты]]</f>
        <v>25</v>
      </c>
      <c r="BK278" s="1006"/>
      <c r="BL278" s="1006"/>
      <c r="BM278" s="390"/>
      <c r="BN278" s="98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78" s="390">
        <v>1</v>
      </c>
      <c r="BP278" s="390">
        <v>-2</v>
      </c>
      <c r="BQ278" s="390">
        <v>0</v>
      </c>
      <c r="BR278" s="390">
        <v>-4</v>
      </c>
      <c r="BS278" s="390">
        <v>-2</v>
      </c>
      <c r="BT278" s="390">
        <v>9</v>
      </c>
      <c r="BU278" s="987" t="s">
        <v>1576</v>
      </c>
      <c r="BV278" s="987" t="s">
        <v>1843</v>
      </c>
      <c r="BW278" s="390"/>
      <c r="BX278" s="390"/>
      <c r="BY278" s="390"/>
      <c r="BZ278" s="116"/>
    </row>
    <row r="279" spans="1:78" s="113" customFormat="1" ht="40.5" customHeight="1" x14ac:dyDescent="0.25">
      <c r="A279" s="333">
        <v>278</v>
      </c>
      <c r="B279" s="302" t="s">
        <v>1355</v>
      </c>
      <c r="C279" s="302"/>
      <c r="D279" s="242" t="s">
        <v>1556</v>
      </c>
      <c r="E279" s="242" t="s">
        <v>1562</v>
      </c>
      <c r="F279" s="242"/>
      <c r="G279" s="242"/>
      <c r="H279" s="242"/>
      <c r="I279" s="658">
        <v>0.3</v>
      </c>
      <c r="J279" s="61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279" s="615">
        <f>Таблица7[[#This Row],[Размер отряда минимум]]*1.25</f>
        <v>30</v>
      </c>
      <c r="L279" s="615">
        <f>Таблица7[[#This Row],[Размер отряда норма]]*1.5</f>
        <v>45</v>
      </c>
      <c r="M279" s="616">
        <f>Таблица7[[#This Row],[Размер отряда минимум]]*2.5</f>
        <v>60</v>
      </c>
      <c r="N279" s="616"/>
      <c r="O279" s="616"/>
      <c r="P279" s="616"/>
      <c r="Q279" s="616"/>
      <c r="R279" s="114" t="s">
        <v>17</v>
      </c>
      <c r="S279" s="964" t="s">
        <v>2889</v>
      </c>
      <c r="T279" s="242" t="s">
        <v>975</v>
      </c>
      <c r="U279" s="744" t="s">
        <v>1121</v>
      </c>
      <c r="V279" s="243"/>
      <c r="W279" s="242" t="s">
        <v>1001</v>
      </c>
      <c r="X279" s="352" t="s">
        <v>1059</v>
      </c>
      <c r="Y279" s="352"/>
      <c r="Z279" s="352"/>
      <c r="AA279" s="352"/>
      <c r="AB279" s="417" t="s">
        <v>1596</v>
      </c>
      <c r="AC279" s="417"/>
      <c r="AD279" s="185" t="s">
        <v>1002</v>
      </c>
      <c r="AE279" s="185"/>
      <c r="AF279" s="113" t="s">
        <v>985</v>
      </c>
      <c r="AH279" s="113" t="s">
        <v>985</v>
      </c>
      <c r="AJ279" s="113" t="s">
        <v>1004</v>
      </c>
      <c r="AL279" s="244" t="s">
        <v>985</v>
      </c>
      <c r="AM279" s="923" t="s">
        <v>935</v>
      </c>
      <c r="AN279" s="923" t="s">
        <v>2383</v>
      </c>
      <c r="AO279" s="242"/>
      <c r="AP279" s="242" t="s">
        <v>1188</v>
      </c>
      <c r="AQ279" s="242"/>
      <c r="AS279" s="113">
        <v>1500</v>
      </c>
      <c r="AT279" s="115">
        <v>1550</v>
      </c>
      <c r="AU279" s="405">
        <v>8</v>
      </c>
      <c r="AV279" s="405"/>
      <c r="AW279" s="405">
        <f>VLOOKUP(Таблица7[[#This Row],[Основное оружие]], Оружие[#All], 2, 0)</f>
        <v>2</v>
      </c>
      <c r="AX279" s="405" t="str">
        <f>IF(ISBLANK(Таблица7[[#This Row],[Дополнительное оружие]]),"", VLOOKUP(Таблица7[[#This Row],[Дополнительное оружие]], Оружие[#All], 2, 0))</f>
        <v/>
      </c>
      <c r="AY27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27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27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79" s="405">
        <f>VLOOKUP(Таблица7[[#This Row],[Основное оружие]], Оружие[#All], 3, 0)</f>
        <v>3</v>
      </c>
      <c r="BC279" s="405" t="str">
        <f>IF(ISBLANK(Таблица7[[#This Row],[Дополнительное оружие]]),"", VLOOKUP(Таблица7[[#This Row],[Дополнительное оружие]], Оружие[#All], 3, 0))</f>
        <v/>
      </c>
      <c r="BD27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27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7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79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7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8</v>
      </c>
      <c r="BI27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10</v>
      </c>
      <c r="BJ279" s="405">
        <f>Таблица7[[#This Row],[Броня]]+Таблица7[[#This Row],[Щит]]+Таблица7[[#This Row],[навык защиты]]</f>
        <v>38</v>
      </c>
      <c r="BK279" s="1006"/>
      <c r="BL279" s="1008" t="s">
        <v>1585</v>
      </c>
      <c r="BM279" s="390"/>
      <c r="BN279" s="98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79" s="390">
        <v>1</v>
      </c>
      <c r="BP279" s="390">
        <v>0</v>
      </c>
      <c r="BQ279" s="390">
        <v>0</v>
      </c>
      <c r="BR279" s="390">
        <v>-1</v>
      </c>
      <c r="BS279" s="390">
        <v>0</v>
      </c>
      <c r="BT279" s="390">
        <v>9</v>
      </c>
      <c r="BU279" s="987" t="s">
        <v>1840</v>
      </c>
      <c r="BV279" s="987" t="s">
        <v>1844</v>
      </c>
      <c r="BW279" s="390"/>
      <c r="BX279" s="390"/>
      <c r="BY279" s="390"/>
      <c r="BZ279" s="116"/>
    </row>
    <row r="280" spans="1:78" s="113" customFormat="1" ht="40.5" customHeight="1" x14ac:dyDescent="0.25">
      <c r="A280" s="333">
        <v>279</v>
      </c>
      <c r="B280" s="302" t="s">
        <v>1356</v>
      </c>
      <c r="C280" s="302"/>
      <c r="D280" s="242" t="s">
        <v>1555</v>
      </c>
      <c r="E280" s="242" t="s">
        <v>1547</v>
      </c>
      <c r="F280" s="242"/>
      <c r="G280" s="242"/>
      <c r="H280" s="242"/>
      <c r="I280" s="658">
        <v>0.5</v>
      </c>
      <c r="J280" s="61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280" s="615">
        <f>Таблица7[[#This Row],[Размер отряда минимум]]*1.25</f>
        <v>12.5</v>
      </c>
      <c r="L280" s="615">
        <f>Таблица7[[#This Row],[Размер отряда норма]]*1.5</f>
        <v>18.75</v>
      </c>
      <c r="M280" s="616">
        <f>Таблица7[[#This Row],[Размер отряда минимум]]*2.5</f>
        <v>25</v>
      </c>
      <c r="N280" s="616"/>
      <c r="O280" s="616"/>
      <c r="P280" s="616"/>
      <c r="Q280" s="616"/>
      <c r="R280" s="114" t="s">
        <v>17</v>
      </c>
      <c r="S280" s="964" t="s">
        <v>2889</v>
      </c>
      <c r="T280" s="242" t="s">
        <v>975</v>
      </c>
      <c r="U280" s="185" t="s">
        <v>1007</v>
      </c>
      <c r="V280" s="115"/>
      <c r="W280" s="113" t="s">
        <v>1001</v>
      </c>
      <c r="X280" s="242" t="s">
        <v>1528</v>
      </c>
      <c r="Y280" s="242"/>
      <c r="Z280" s="242" t="s">
        <v>1036</v>
      </c>
      <c r="AA280" s="242"/>
      <c r="AB280" s="242"/>
      <c r="AC280" s="242"/>
      <c r="AD280" s="744" t="s">
        <v>1004</v>
      </c>
      <c r="AE280" s="744"/>
      <c r="AF280" s="242" t="s">
        <v>985</v>
      </c>
      <c r="AG280" s="242"/>
      <c r="AH280" s="242" t="s">
        <v>985</v>
      </c>
      <c r="AI280" s="242"/>
      <c r="AJ280" s="242" t="s">
        <v>985</v>
      </c>
      <c r="AK280" s="242"/>
      <c r="AL280" s="204" t="s">
        <v>1163</v>
      </c>
      <c r="AM280" s="242" t="s">
        <v>935</v>
      </c>
      <c r="AN280" s="242" t="s">
        <v>952</v>
      </c>
      <c r="AO280" s="242"/>
      <c r="AP280" s="242" t="s">
        <v>1187</v>
      </c>
      <c r="AQ280" s="242"/>
      <c r="AR280" s="242"/>
      <c r="AS280" s="242">
        <v>1500</v>
      </c>
      <c r="AT280" s="115">
        <v>1565</v>
      </c>
      <c r="AU280" s="405">
        <v>10</v>
      </c>
      <c r="AV280" s="405"/>
      <c r="AW280" s="405">
        <f>VLOOKUP(Таблица7[[#This Row],[Основное оружие]], Оружие[#All], 2, 0)</f>
        <v>2</v>
      </c>
      <c r="AX280" s="405">
        <f>IF(ISBLANK(Таблица7[[#This Row],[Дополнительное оружие]]),"", VLOOKUP(Таблица7[[#This Row],[Дополнительное оружие]], Оружие[#All], 2, 0))</f>
        <v>5</v>
      </c>
      <c r="AY28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8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8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280" s="405">
        <f>VLOOKUP(Таблица7[[#This Row],[Основное оружие]], Оружие[#All], 3, 0)</f>
        <v>6</v>
      </c>
      <c r="BC280" s="405">
        <f>IF(ISBLANK(Таблица7[[#This Row],[Дополнительное оружие]]),"", VLOOKUP(Таблица7[[#This Row],[Дополнительное оружие]], Оружие[#All], 3, 0))</f>
        <v>3</v>
      </c>
      <c r="BD28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28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8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8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80" s="405">
        <f>Таблица7[[#This Row],[Броня]]+Таблица7[[#This Row],[Щит]]+Таблица7[[#This Row],[навык защиты]]</f>
        <v>29</v>
      </c>
      <c r="BK280" s="1006"/>
      <c r="BL280" s="1006"/>
      <c r="BM280" s="390"/>
      <c r="BN280" s="98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80" s="390">
        <v>1</v>
      </c>
      <c r="BP280" s="390">
        <v>-2</v>
      </c>
      <c r="BQ280" s="390">
        <v>0</v>
      </c>
      <c r="BR280" s="390">
        <v>-4</v>
      </c>
      <c r="BS280" s="390">
        <v>-2</v>
      </c>
      <c r="BT280" s="390">
        <v>11</v>
      </c>
      <c r="BU280" s="987" t="s">
        <v>1840</v>
      </c>
      <c r="BV280" s="987" t="s">
        <v>1844</v>
      </c>
      <c r="BW280" s="390"/>
      <c r="BX280" s="390"/>
      <c r="BY280" s="390"/>
      <c r="BZ280" s="116"/>
    </row>
    <row r="281" spans="1:78" s="113" customFormat="1" ht="40.5" customHeight="1" x14ac:dyDescent="0.25">
      <c r="A281" s="333">
        <v>280</v>
      </c>
      <c r="B281" s="302" t="s">
        <v>1356</v>
      </c>
      <c r="C281" s="302"/>
      <c r="D281" s="242" t="s">
        <v>1555</v>
      </c>
      <c r="E281" s="242" t="s">
        <v>1547</v>
      </c>
      <c r="F281" s="242"/>
      <c r="G281" s="242"/>
      <c r="H281" s="242"/>
      <c r="I281" s="658">
        <v>0.5</v>
      </c>
      <c r="J281" s="61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281" s="615">
        <f>Таблица7[[#This Row],[Размер отряда минимум]]*1.25</f>
        <v>15</v>
      </c>
      <c r="L281" s="615">
        <f>Таблица7[[#This Row],[Размер отряда норма]]*1.5</f>
        <v>22.5</v>
      </c>
      <c r="M281" s="616">
        <f>Таблица7[[#This Row],[Размер отряда минимум]]*2.5</f>
        <v>30</v>
      </c>
      <c r="N281" s="616"/>
      <c r="O281" s="616"/>
      <c r="P281" s="616"/>
      <c r="Q281" s="616"/>
      <c r="R281" s="114" t="s">
        <v>17</v>
      </c>
      <c r="S281" s="964" t="s">
        <v>2889</v>
      </c>
      <c r="T281" s="242" t="s">
        <v>976</v>
      </c>
      <c r="U281" s="185" t="s">
        <v>1007</v>
      </c>
      <c r="V281" s="115"/>
      <c r="W281" s="185" t="s">
        <v>1001</v>
      </c>
      <c r="X281" s="776" t="s">
        <v>1950</v>
      </c>
      <c r="Y281" s="242"/>
      <c r="Z281" s="242" t="s">
        <v>1440</v>
      </c>
      <c r="AA281" s="242"/>
      <c r="AB281" s="242"/>
      <c r="AC281" s="242"/>
      <c r="AD281" s="744" t="s">
        <v>1005</v>
      </c>
      <c r="AE281" s="744"/>
      <c r="AF281" s="242" t="s">
        <v>985</v>
      </c>
      <c r="AG281" s="242"/>
      <c r="AH281" s="242" t="s">
        <v>985</v>
      </c>
      <c r="AI281" s="242"/>
      <c r="AJ281" s="242" t="s">
        <v>985</v>
      </c>
      <c r="AK281" s="242"/>
      <c r="AL281" s="204" t="s">
        <v>985</v>
      </c>
      <c r="AM281" s="242" t="s">
        <v>935</v>
      </c>
      <c r="AN281" s="242" t="s">
        <v>952</v>
      </c>
      <c r="AO281" s="242"/>
      <c r="AP281" s="242" t="s">
        <v>1187</v>
      </c>
      <c r="AQ281" s="242"/>
      <c r="AR281" s="242"/>
      <c r="AS281" s="242">
        <v>1565</v>
      </c>
      <c r="AT281" s="115"/>
      <c r="AU281" s="405">
        <v>10</v>
      </c>
      <c r="AV281" s="405" t="s">
        <v>1828</v>
      </c>
      <c r="AW281" s="405">
        <f>VLOOKUP(Таблица7[[#This Row],[Основное оружие]], Оружие[#All], 2, 0)</f>
        <v>0</v>
      </c>
      <c r="AX281" s="405">
        <f>IF(ISBLANK(Таблица7[[#This Row],[Дополнительное оружие]]),"", VLOOKUP(Таблица7[[#This Row],[Дополнительное оружие]], Оружие[#All], 2, 0))</f>
        <v>4</v>
      </c>
      <c r="AY28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8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8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81" s="405">
        <f>VLOOKUP(Таблица7[[#This Row],[Основное оружие]], Оружие[#All], 3, 0)</f>
        <v>1</v>
      </c>
      <c r="BC281" s="405">
        <f>IF(ISBLANK(Таблица7[[#This Row],[Дополнительное оружие]]),"", VLOOKUP(Таблица7[[#This Row],[Дополнительное оружие]], Оружие[#All], 3, 0))</f>
        <v>3</v>
      </c>
      <c r="BD28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28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8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8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81" s="405">
        <f>Таблица7[[#This Row],[Броня]]+Таблица7[[#This Row],[Щит]]+Таблица7[[#This Row],[навык защиты]]</f>
        <v>28</v>
      </c>
      <c r="BK281" s="1006"/>
      <c r="BL281" s="1006"/>
      <c r="BM281" s="390"/>
      <c r="BN281" s="98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81" s="390">
        <v>1</v>
      </c>
      <c r="BP281" s="390">
        <v>-2</v>
      </c>
      <c r="BQ281" s="390">
        <v>0</v>
      </c>
      <c r="BR281" s="390">
        <v>-4</v>
      </c>
      <c r="BS281" s="390">
        <v>-2</v>
      </c>
      <c r="BT281" s="390">
        <v>11</v>
      </c>
      <c r="BU281" s="987" t="s">
        <v>1840</v>
      </c>
      <c r="BV281" s="987" t="s">
        <v>1844</v>
      </c>
      <c r="BW281" s="390"/>
      <c r="BX281" s="390"/>
      <c r="BY281" s="390"/>
      <c r="BZ281" s="116"/>
    </row>
    <row r="282" spans="1:78" s="75" customFormat="1" ht="40.5" customHeight="1" x14ac:dyDescent="0.25">
      <c r="A282" s="333">
        <v>281</v>
      </c>
      <c r="B282" s="283" t="s">
        <v>1357</v>
      </c>
      <c r="C282" s="283"/>
      <c r="D282" s="117" t="s">
        <v>1556</v>
      </c>
      <c r="E282" s="117" t="s">
        <v>1546</v>
      </c>
      <c r="F282" s="117"/>
      <c r="G282" s="117"/>
      <c r="H282" s="117"/>
      <c r="I282" s="650">
        <v>1</v>
      </c>
      <c r="J282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82" s="599">
        <f>Таблица7[[#This Row],[Размер отряда минимум]]*1.25</f>
        <v>112.5</v>
      </c>
      <c r="L282" s="599">
        <f>Таблица7[[#This Row],[Размер отряда норма]]*1.5</f>
        <v>168.75</v>
      </c>
      <c r="M282" s="600">
        <f>Таблица7[[#This Row],[Размер отряда минимум]]*2.5</f>
        <v>225</v>
      </c>
      <c r="N282" s="600"/>
      <c r="O282" s="600"/>
      <c r="P282" s="600"/>
      <c r="Q282" s="600"/>
      <c r="R282" s="117" t="s">
        <v>18</v>
      </c>
      <c r="S282" s="957" t="s">
        <v>2890</v>
      </c>
      <c r="T282" s="117" t="s">
        <v>975</v>
      </c>
      <c r="U282" s="735" t="s">
        <v>1501</v>
      </c>
      <c r="V282" s="547"/>
      <c r="W282" s="117" t="s">
        <v>984</v>
      </c>
      <c r="X282" s="117" t="s">
        <v>1059</v>
      </c>
      <c r="Y282" s="117"/>
      <c r="Z282" s="117"/>
      <c r="AA282" s="117"/>
      <c r="AB282" s="411" t="s">
        <v>1505</v>
      </c>
      <c r="AC282" s="411"/>
      <c r="AD282" s="186" t="s">
        <v>985</v>
      </c>
      <c r="AE282" s="186"/>
      <c r="AF282" s="117" t="s">
        <v>985</v>
      </c>
      <c r="AG282" s="117"/>
      <c r="AH282" s="117" t="s">
        <v>985</v>
      </c>
      <c r="AI282" s="117"/>
      <c r="AJ282" s="186" t="s">
        <v>985</v>
      </c>
      <c r="AK282" s="186"/>
      <c r="AL282" s="205" t="s">
        <v>985</v>
      </c>
      <c r="AM282" s="117" t="s">
        <v>935</v>
      </c>
      <c r="AN282" s="117" t="s">
        <v>955</v>
      </c>
      <c r="AO282" s="117"/>
      <c r="AP282" s="117" t="s">
        <v>1106</v>
      </c>
      <c r="AQ282" s="117"/>
      <c r="AS282" s="75">
        <v>1500</v>
      </c>
      <c r="AT282" s="76">
        <v>1550</v>
      </c>
      <c r="AU282" s="405">
        <v>1</v>
      </c>
      <c r="AV282" s="405"/>
      <c r="AW282" s="405">
        <f>VLOOKUP(Таблица7[[#This Row],[Основное оружие]], Оружие[#All], 2, 0)</f>
        <v>2</v>
      </c>
      <c r="AX282" s="405" t="str">
        <f>IF(ISBLANK(Таблица7[[#This Row],[Дополнительное оружие]]),"", VLOOKUP(Таблица7[[#This Row],[Дополнительное оружие]], Оружие[#All], 2, 0))</f>
        <v/>
      </c>
      <c r="AY28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8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28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82" s="405">
        <f>VLOOKUP(Таблица7[[#This Row],[Основное оружие]], Оружие[#All], 3, 0)</f>
        <v>3</v>
      </c>
      <c r="BC282" s="405" t="str">
        <f>IF(ISBLANK(Таблица7[[#This Row],[Дополнительное оружие]]),"", VLOOKUP(Таблица7[[#This Row],[Дополнительное оружие]], Оружие[#All], 3, 0))</f>
        <v/>
      </c>
      <c r="BD28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8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8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28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7</v>
      </c>
      <c r="BJ282" s="405">
        <f>Таблица7[[#This Row],[Броня]]+Таблица7[[#This Row],[Щит]]+Таблица7[[#This Row],[навык защиты]]</f>
        <v>10</v>
      </c>
      <c r="BK282" s="1006"/>
      <c r="BL282" s="1006"/>
      <c r="BM282" s="382"/>
      <c r="BN282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82" s="382">
        <v>1</v>
      </c>
      <c r="BP282" s="382">
        <v>1</v>
      </c>
      <c r="BQ282" s="382">
        <v>0</v>
      </c>
      <c r="BR282" s="382">
        <v>2</v>
      </c>
      <c r="BS282" s="382">
        <v>0</v>
      </c>
      <c r="BT282" s="382">
        <v>2</v>
      </c>
      <c r="BU282" s="978" t="s">
        <v>1839</v>
      </c>
      <c r="BV282" s="978" t="s">
        <v>1842</v>
      </c>
      <c r="BW282" s="382"/>
      <c r="BX282" s="382"/>
      <c r="BY282" s="382"/>
      <c r="BZ282" s="77"/>
    </row>
    <row r="283" spans="1:78" s="75" customFormat="1" ht="40.5" customHeight="1" x14ac:dyDescent="0.25">
      <c r="A283" s="333">
        <v>282</v>
      </c>
      <c r="B283" s="283" t="s">
        <v>1358</v>
      </c>
      <c r="C283" s="283"/>
      <c r="D283" s="117" t="s">
        <v>1556</v>
      </c>
      <c r="E283" s="117" t="s">
        <v>1560</v>
      </c>
      <c r="F283" s="117"/>
      <c r="G283" s="117"/>
      <c r="H283" s="117"/>
      <c r="I283" s="650">
        <v>1</v>
      </c>
      <c r="J283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283" s="599">
        <f>Таблица7[[#This Row],[Размер отряда минимум]]*1.25</f>
        <v>125</v>
      </c>
      <c r="L283" s="599">
        <f>Таблица7[[#This Row],[Размер отряда норма]]*1.5</f>
        <v>187.5</v>
      </c>
      <c r="M283" s="600">
        <f>Таблица7[[#This Row],[Размер отряда минимум]]*2.5</f>
        <v>250</v>
      </c>
      <c r="N283" s="600"/>
      <c r="O283" s="600"/>
      <c r="P283" s="600"/>
      <c r="Q283" s="600"/>
      <c r="R283" s="117" t="s">
        <v>18</v>
      </c>
      <c r="S283" s="957" t="s">
        <v>2890</v>
      </c>
      <c r="T283" s="117" t="s">
        <v>976</v>
      </c>
      <c r="U283" s="735" t="s">
        <v>1719</v>
      </c>
      <c r="V283" s="547"/>
      <c r="W283" s="117" t="s">
        <v>984</v>
      </c>
      <c r="X283" s="637" t="s">
        <v>1098</v>
      </c>
      <c r="Y283" s="637"/>
      <c r="Z283" s="117"/>
      <c r="AA283" s="117"/>
      <c r="AB283" s="411"/>
      <c r="AC283" s="411"/>
      <c r="AD283" s="186" t="s">
        <v>985</v>
      </c>
      <c r="AE283" s="186"/>
      <c r="AF283" s="117" t="s">
        <v>985</v>
      </c>
      <c r="AG283" s="117"/>
      <c r="AH283" s="117" t="s">
        <v>985</v>
      </c>
      <c r="AI283" s="117"/>
      <c r="AJ283" s="186" t="s">
        <v>985</v>
      </c>
      <c r="AK283" s="186"/>
      <c r="AL283" s="205" t="s">
        <v>985</v>
      </c>
      <c r="AM283" s="117" t="s">
        <v>935</v>
      </c>
      <c r="AN283" s="117" t="s">
        <v>955</v>
      </c>
      <c r="AO283" s="117"/>
      <c r="AP283" s="117" t="s">
        <v>1106</v>
      </c>
      <c r="AQ283" s="117"/>
      <c r="AS283" s="75">
        <v>1550</v>
      </c>
      <c r="AT283" s="76"/>
      <c r="AU283" s="405">
        <v>2</v>
      </c>
      <c r="AV283" s="405"/>
      <c r="AW283" s="405">
        <f>VLOOKUP(Таблица7[[#This Row],[Основное оружие]], Оружие[#All], 2, 0)</f>
        <v>3</v>
      </c>
      <c r="AX283" s="405" t="str">
        <f>IF(ISBLANK(Таблица7[[#This Row],[Дополнительное оружие]]),"", VLOOKUP(Таблица7[[#This Row],[Дополнительное оружие]], Оружие[#All], 2, 0))</f>
        <v/>
      </c>
      <c r="AY28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8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28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83" s="405">
        <f>VLOOKUP(Таблица7[[#This Row],[Основное оружие]], Оружие[#All], 3, 0)</f>
        <v>3</v>
      </c>
      <c r="BC283" s="405" t="str">
        <f>IF(ISBLANK(Таблица7[[#This Row],[Дополнительное оружие]]),"", VLOOKUP(Таблица7[[#This Row],[Дополнительное оружие]], Оружие[#All], 3, 0))</f>
        <v/>
      </c>
      <c r="BD28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8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8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8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83" s="405">
        <f>Таблица7[[#This Row],[Броня]]+Таблица7[[#This Row],[Щит]]+Таблица7[[#This Row],[навык защиты]]</f>
        <v>4</v>
      </c>
      <c r="BK283" s="1006"/>
      <c r="BL283" s="1006"/>
      <c r="BM283" s="382"/>
      <c r="BN283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83" s="382">
        <v>1</v>
      </c>
      <c r="BP283" s="382">
        <v>1</v>
      </c>
      <c r="BQ283" s="382">
        <v>0</v>
      </c>
      <c r="BR283" s="382">
        <v>2</v>
      </c>
      <c r="BS283" s="382">
        <v>0</v>
      </c>
      <c r="BT283" s="382">
        <v>5</v>
      </c>
      <c r="BU283" s="978" t="s">
        <v>1576</v>
      </c>
      <c r="BV283" s="978" t="s">
        <v>1842</v>
      </c>
      <c r="BW283" s="382"/>
      <c r="BX283" s="382"/>
      <c r="BY283" s="382"/>
      <c r="BZ283" s="77"/>
    </row>
    <row r="284" spans="1:78" s="75" customFormat="1" ht="40.5" customHeight="1" x14ac:dyDescent="0.25">
      <c r="A284" s="333">
        <v>283</v>
      </c>
      <c r="B284" s="283" t="s">
        <v>1359</v>
      </c>
      <c r="C284" s="283"/>
      <c r="D284" s="117" t="s">
        <v>1556</v>
      </c>
      <c r="E284" s="117" t="s">
        <v>1570</v>
      </c>
      <c r="F284" s="117"/>
      <c r="G284" s="117"/>
      <c r="H284" s="117"/>
      <c r="I284" s="650">
        <v>1</v>
      </c>
      <c r="J284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84" s="599">
        <f>Таблица7[[#This Row],[Размер отряда минимум]]*1.25</f>
        <v>112.5</v>
      </c>
      <c r="L284" s="599">
        <f>Таблица7[[#This Row],[Размер отряда норма]]*1.5</f>
        <v>168.75</v>
      </c>
      <c r="M284" s="600">
        <f>Таблица7[[#This Row],[Размер отряда минимум]]*2.5</f>
        <v>225</v>
      </c>
      <c r="N284" s="600"/>
      <c r="O284" s="600"/>
      <c r="P284" s="600"/>
      <c r="Q284" s="600"/>
      <c r="R284" s="117" t="s">
        <v>18</v>
      </c>
      <c r="S284" s="957" t="s">
        <v>2890</v>
      </c>
      <c r="T284" s="117" t="s">
        <v>975</v>
      </c>
      <c r="U284" s="735" t="s">
        <v>1126</v>
      </c>
      <c r="V284" s="547"/>
      <c r="W284" s="117" t="s">
        <v>984</v>
      </c>
      <c r="X284" s="637" t="s">
        <v>1469</v>
      </c>
      <c r="Y284" s="637"/>
      <c r="Z284" s="117"/>
      <c r="AA284" s="117"/>
      <c r="AB284" s="411"/>
      <c r="AC284" s="411"/>
      <c r="AD284" s="186" t="s">
        <v>985</v>
      </c>
      <c r="AE284" s="186"/>
      <c r="AF284" s="117" t="s">
        <v>991</v>
      </c>
      <c r="AG284" s="117"/>
      <c r="AH284" s="117" t="s">
        <v>985</v>
      </c>
      <c r="AI284" s="117"/>
      <c r="AJ284" s="186" t="s">
        <v>985</v>
      </c>
      <c r="AK284" s="186"/>
      <c r="AL284" s="205" t="s">
        <v>985</v>
      </c>
      <c r="AM284" s="117" t="s">
        <v>978</v>
      </c>
      <c r="AN284" s="117" t="s">
        <v>1023</v>
      </c>
      <c r="AO284" s="117"/>
      <c r="AP284" s="117" t="s">
        <v>1106</v>
      </c>
      <c r="AQ284" s="117"/>
      <c r="AS284" s="75">
        <v>1500</v>
      </c>
      <c r="AT284" s="76">
        <v>1550</v>
      </c>
      <c r="AU284" s="405">
        <v>2</v>
      </c>
      <c r="AV284" s="405" t="s">
        <v>1826</v>
      </c>
      <c r="AW284" s="405">
        <f>VLOOKUP(Таблица7[[#This Row],[Основное оружие]], Оружие[#All], 2, 0)</f>
        <v>0</v>
      </c>
      <c r="AX284" s="405" t="str">
        <f>IF(ISBLANK(Таблица7[[#This Row],[Дополнительное оружие]]),"", VLOOKUP(Таблица7[[#This Row],[Дополнительное оружие]], Оружие[#All], 2, 0))</f>
        <v/>
      </c>
      <c r="AY28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8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8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84" s="405">
        <f>VLOOKUP(Таблица7[[#This Row],[Основное оружие]], Оружие[#All], 3, 0)</f>
        <v>1</v>
      </c>
      <c r="BC284" s="405" t="str">
        <f>IF(ISBLANK(Таблица7[[#This Row],[Дополнительное оружие]]),"", VLOOKUP(Таблица7[[#This Row],[Дополнительное оружие]], Оружие[#All], 3, 0))</f>
        <v/>
      </c>
      <c r="BD28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8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8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8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84" s="405">
        <f>Таблица7[[#This Row],[Броня]]+Таблица7[[#This Row],[Щит]]+Таблица7[[#This Row],[навык защиты]]</f>
        <v>4</v>
      </c>
      <c r="BK284" s="1006"/>
      <c r="BL284" s="1006"/>
      <c r="BM284" s="382"/>
      <c r="BN284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84" s="382">
        <v>1</v>
      </c>
      <c r="BP284" s="382">
        <v>0</v>
      </c>
      <c r="BQ284" s="382">
        <v>0</v>
      </c>
      <c r="BR284" s="382">
        <v>-1</v>
      </c>
      <c r="BS284" s="382">
        <v>0</v>
      </c>
      <c r="BT284" s="382">
        <v>3</v>
      </c>
      <c r="BU284" s="978" t="s">
        <v>1839</v>
      </c>
      <c r="BV284" s="978" t="s">
        <v>1842</v>
      </c>
      <c r="BW284" s="382"/>
      <c r="BX284" s="382"/>
      <c r="BY284" s="382"/>
      <c r="BZ284" s="77"/>
    </row>
    <row r="285" spans="1:78" s="75" customFormat="1" ht="40.5" customHeight="1" x14ac:dyDescent="0.25">
      <c r="A285" s="333">
        <v>284</v>
      </c>
      <c r="B285" s="283" t="s">
        <v>1360</v>
      </c>
      <c r="C285" s="283"/>
      <c r="D285" s="117" t="s">
        <v>1556</v>
      </c>
      <c r="E285" s="117" t="s">
        <v>1570</v>
      </c>
      <c r="F285" s="117"/>
      <c r="G285" s="117"/>
      <c r="H285" s="117"/>
      <c r="I285" s="650">
        <v>1</v>
      </c>
      <c r="J285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285" s="599">
        <f>Таблица7[[#This Row],[Размер отряда минимум]]*1.25</f>
        <v>125</v>
      </c>
      <c r="L285" s="599">
        <f>Таблица7[[#This Row],[Размер отряда норма]]*1.5</f>
        <v>187.5</v>
      </c>
      <c r="M285" s="600">
        <f>Таблица7[[#This Row],[Размер отряда минимум]]*2.5</f>
        <v>250</v>
      </c>
      <c r="N285" s="600"/>
      <c r="O285" s="600"/>
      <c r="P285" s="600"/>
      <c r="Q285" s="600"/>
      <c r="R285" s="117" t="s">
        <v>18</v>
      </c>
      <c r="S285" s="957" t="s">
        <v>2890</v>
      </c>
      <c r="T285" s="117" t="s">
        <v>976</v>
      </c>
      <c r="U285" s="735" t="s">
        <v>1126</v>
      </c>
      <c r="V285" s="547"/>
      <c r="W285" s="186" t="s">
        <v>984</v>
      </c>
      <c r="X285" s="637" t="s">
        <v>1469</v>
      </c>
      <c r="Y285" s="637"/>
      <c r="Z285" s="117"/>
      <c r="AA285" s="117"/>
      <c r="AB285" s="117"/>
      <c r="AC285" s="117"/>
      <c r="AD285" s="186" t="s">
        <v>985</v>
      </c>
      <c r="AE285" s="186"/>
      <c r="AF285" s="117" t="s">
        <v>991</v>
      </c>
      <c r="AG285" s="117"/>
      <c r="AH285" s="117" t="s">
        <v>985</v>
      </c>
      <c r="AI285" s="117"/>
      <c r="AJ285" s="186" t="s">
        <v>985</v>
      </c>
      <c r="AK285" s="186"/>
      <c r="AL285" s="205" t="s">
        <v>985</v>
      </c>
      <c r="AM285" s="117" t="s">
        <v>978</v>
      </c>
      <c r="AN285" s="117" t="s">
        <v>1023</v>
      </c>
      <c r="AO285" s="117"/>
      <c r="AP285" s="117" t="s">
        <v>1106</v>
      </c>
      <c r="AQ285" s="117"/>
      <c r="AS285" s="75">
        <v>1550</v>
      </c>
      <c r="AT285" s="76"/>
      <c r="AU285" s="405">
        <v>2</v>
      </c>
      <c r="AV285" s="405" t="s">
        <v>1827</v>
      </c>
      <c r="AW285" s="405">
        <f>VLOOKUP(Таблица7[[#This Row],[Основное оружие]], Оружие[#All], 2, 0)</f>
        <v>0</v>
      </c>
      <c r="AX285" s="405" t="str">
        <f>IF(ISBLANK(Таблица7[[#This Row],[Дополнительное оружие]]),"", VLOOKUP(Таблица7[[#This Row],[Дополнительное оружие]], Оружие[#All], 2, 0))</f>
        <v/>
      </c>
      <c r="AY28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8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8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85" s="405">
        <f>VLOOKUP(Таблица7[[#This Row],[Основное оружие]], Оружие[#All], 3, 0)</f>
        <v>1</v>
      </c>
      <c r="BC285" s="405" t="str">
        <f>IF(ISBLANK(Таблица7[[#This Row],[Дополнительное оружие]]),"", VLOOKUP(Таблица7[[#This Row],[Дополнительное оружие]], Оружие[#All], 3, 0))</f>
        <v/>
      </c>
      <c r="BD28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8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8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8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85" s="405">
        <f>Таблица7[[#This Row],[Броня]]+Таблица7[[#This Row],[Щит]]+Таблица7[[#This Row],[навык защиты]]</f>
        <v>4</v>
      </c>
      <c r="BK285" s="1006"/>
      <c r="BL285" s="1006"/>
      <c r="BM285" s="382"/>
      <c r="BN285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85" s="382">
        <v>1</v>
      </c>
      <c r="BP285" s="382">
        <v>0</v>
      </c>
      <c r="BQ285" s="382">
        <v>0</v>
      </c>
      <c r="BR285" s="382">
        <v>-1</v>
      </c>
      <c r="BS285" s="382">
        <v>0</v>
      </c>
      <c r="BT285" s="382">
        <v>3</v>
      </c>
      <c r="BU285" s="978" t="s">
        <v>1839</v>
      </c>
      <c r="BV285" s="978" t="s">
        <v>1842</v>
      </c>
      <c r="BW285" s="382"/>
      <c r="BX285" s="382"/>
      <c r="BY285" s="382"/>
      <c r="BZ285" s="77"/>
    </row>
    <row r="286" spans="1:78" s="75" customFormat="1" ht="40.5" customHeight="1" x14ac:dyDescent="0.25">
      <c r="A286" s="333">
        <v>285</v>
      </c>
      <c r="B286" s="283" t="s">
        <v>1361</v>
      </c>
      <c r="C286" s="283"/>
      <c r="D286" s="117" t="s">
        <v>1556</v>
      </c>
      <c r="E286" s="117" t="s">
        <v>1448</v>
      </c>
      <c r="F286" s="117"/>
      <c r="G286" s="117"/>
      <c r="H286" s="117"/>
      <c r="I286" s="650">
        <v>0.7</v>
      </c>
      <c r="J286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62.999999999999993</v>
      </c>
      <c r="K286" s="599">
        <f>Таблица7[[#This Row],[Размер отряда минимум]]*1.25</f>
        <v>78.749999999999986</v>
      </c>
      <c r="L286" s="599">
        <f>Таблица7[[#This Row],[Размер отряда норма]]*1.5</f>
        <v>118.12499999999997</v>
      </c>
      <c r="M286" s="600">
        <f>Таблица7[[#This Row],[Размер отряда минимум]]*2.5</f>
        <v>157.49999999999997</v>
      </c>
      <c r="N286" s="600"/>
      <c r="O286" s="600"/>
      <c r="P286" s="600"/>
      <c r="Q286" s="600"/>
      <c r="R286" s="117" t="s">
        <v>18</v>
      </c>
      <c r="S286" s="957" t="s">
        <v>2890</v>
      </c>
      <c r="T286" s="117" t="s">
        <v>975</v>
      </c>
      <c r="U286" s="745" t="s">
        <v>1195</v>
      </c>
      <c r="V286" s="255"/>
      <c r="W286" s="117" t="s">
        <v>1001</v>
      </c>
      <c r="X286" s="256" t="s">
        <v>1194</v>
      </c>
      <c r="Y286" s="256"/>
      <c r="Z286" s="256"/>
      <c r="AA286" s="256"/>
      <c r="AB286" s="256"/>
      <c r="AC286" s="256"/>
      <c r="AD286" s="801" t="s">
        <v>1158</v>
      </c>
      <c r="AE286" s="801"/>
      <c r="AF286" s="117" t="s">
        <v>1211</v>
      </c>
      <c r="AG286" s="117"/>
      <c r="AH286" s="117" t="s">
        <v>985</v>
      </c>
      <c r="AI286" s="117"/>
      <c r="AJ286" s="186" t="s">
        <v>985</v>
      </c>
      <c r="AK286" s="186"/>
      <c r="AL286" s="205" t="s">
        <v>985</v>
      </c>
      <c r="AM286" s="117" t="s">
        <v>978</v>
      </c>
      <c r="AN286" s="232" t="s">
        <v>964</v>
      </c>
      <c r="AO286" s="232"/>
      <c r="AP286" s="117" t="s">
        <v>1106</v>
      </c>
      <c r="AQ286" s="117"/>
      <c r="AS286" s="75">
        <v>1500</v>
      </c>
      <c r="AT286" s="76">
        <v>1550</v>
      </c>
      <c r="AU286" s="405">
        <v>6</v>
      </c>
      <c r="AV286" s="405"/>
      <c r="AW286" s="405">
        <f>VLOOKUP(Таблица7[[#This Row],[Основное оружие]], Оружие[#All], 2, 0)</f>
        <v>6</v>
      </c>
      <c r="AX286" s="405" t="str">
        <f>IF(ISBLANK(Таблица7[[#This Row],[Дополнительное оружие]]),"", VLOOKUP(Таблица7[[#This Row],[Дополнительное оружие]], Оружие[#All], 2, 0))</f>
        <v/>
      </c>
      <c r="AY28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8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28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86" s="405">
        <f>VLOOKUP(Таблица7[[#This Row],[Основное оружие]], Оружие[#All], 3, 0)</f>
        <v>3</v>
      </c>
      <c r="BC286" s="405" t="str">
        <f>IF(ISBLANK(Таблица7[[#This Row],[Дополнительное оружие]]),"", VLOOKUP(Таблица7[[#This Row],[Дополнительное оружие]], Оружие[#All], 3, 0))</f>
        <v/>
      </c>
      <c r="BD28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8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8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28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86" s="405">
        <f>Таблица7[[#This Row],[Броня]]+Таблица7[[#This Row],[Щит]]+Таблица7[[#This Row],[навык защиты]]</f>
        <v>19</v>
      </c>
      <c r="BK286" s="1006"/>
      <c r="BL286" s="1006"/>
      <c r="BM286" s="382"/>
      <c r="BN286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86" s="382">
        <v>1</v>
      </c>
      <c r="BP286" s="382">
        <v>0</v>
      </c>
      <c r="BQ286" s="382">
        <v>0</v>
      </c>
      <c r="BR286" s="382">
        <v>-1</v>
      </c>
      <c r="BS286" s="382">
        <v>0</v>
      </c>
      <c r="BT286" s="382">
        <v>8</v>
      </c>
      <c r="BU286" s="978" t="s">
        <v>1576</v>
      </c>
      <c r="BV286" s="978" t="s">
        <v>1843</v>
      </c>
      <c r="BW286" s="382"/>
      <c r="BX286" s="382"/>
      <c r="BY286" s="382"/>
      <c r="BZ286" s="77"/>
    </row>
    <row r="287" spans="1:78" s="75" customFormat="1" ht="40.5" customHeight="1" x14ac:dyDescent="0.25">
      <c r="A287" s="333">
        <v>286</v>
      </c>
      <c r="B287" s="283" t="s">
        <v>1361</v>
      </c>
      <c r="C287" s="283"/>
      <c r="D287" s="117" t="s">
        <v>1556</v>
      </c>
      <c r="E287" s="117" t="s">
        <v>1448</v>
      </c>
      <c r="F287" s="117"/>
      <c r="G287" s="117"/>
      <c r="H287" s="117"/>
      <c r="I287" s="650">
        <v>0.7</v>
      </c>
      <c r="J287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70</v>
      </c>
      <c r="K287" s="599">
        <f>Таблица7[[#This Row],[Размер отряда минимум]]*1.25</f>
        <v>87.5</v>
      </c>
      <c r="L287" s="599">
        <f>Таблица7[[#This Row],[Размер отряда норма]]*1.5</f>
        <v>131.25</v>
      </c>
      <c r="M287" s="600">
        <f>Таблица7[[#This Row],[Размер отряда минимум]]*2.5</f>
        <v>175</v>
      </c>
      <c r="N287" s="600"/>
      <c r="O287" s="600"/>
      <c r="P287" s="600"/>
      <c r="Q287" s="600"/>
      <c r="R287" s="117" t="s">
        <v>18</v>
      </c>
      <c r="S287" s="957" t="s">
        <v>2890</v>
      </c>
      <c r="T287" s="117" t="s">
        <v>976</v>
      </c>
      <c r="U287" s="745" t="s">
        <v>1195</v>
      </c>
      <c r="V287" s="255"/>
      <c r="W287" s="117" t="s">
        <v>1001</v>
      </c>
      <c r="X287" s="256" t="s">
        <v>1194</v>
      </c>
      <c r="Y287" s="256"/>
      <c r="Z287" s="256"/>
      <c r="AA287" s="256"/>
      <c r="AB287" s="256"/>
      <c r="AC287" s="256"/>
      <c r="AD287" s="801" t="s">
        <v>1158</v>
      </c>
      <c r="AE287" s="801"/>
      <c r="AF287" s="117" t="s">
        <v>1211</v>
      </c>
      <c r="AG287" s="117"/>
      <c r="AH287" s="117" t="s">
        <v>985</v>
      </c>
      <c r="AI287" s="117"/>
      <c r="AJ287" s="186" t="s">
        <v>985</v>
      </c>
      <c r="AK287" s="186"/>
      <c r="AL287" s="205" t="s">
        <v>985</v>
      </c>
      <c r="AM287" s="117" t="s">
        <v>978</v>
      </c>
      <c r="AN287" s="232" t="s">
        <v>964</v>
      </c>
      <c r="AO287" s="232"/>
      <c r="AP287" s="117" t="s">
        <v>1106</v>
      </c>
      <c r="AQ287" s="117"/>
      <c r="AS287" s="75">
        <v>1550</v>
      </c>
      <c r="AT287" s="76"/>
      <c r="AU287" s="405">
        <v>6</v>
      </c>
      <c r="AV287" s="405"/>
      <c r="AW287" s="405">
        <f>VLOOKUP(Таблица7[[#This Row],[Основное оружие]], Оружие[#All], 2, 0)</f>
        <v>6</v>
      </c>
      <c r="AX287" s="405" t="str">
        <f>IF(ISBLANK(Таблица7[[#This Row],[Дополнительное оружие]]),"", VLOOKUP(Таблица7[[#This Row],[Дополнительное оружие]], Оружие[#All], 2, 0))</f>
        <v/>
      </c>
      <c r="AY28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8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28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87" s="405">
        <f>VLOOKUP(Таблица7[[#This Row],[Основное оружие]], Оружие[#All], 3, 0)</f>
        <v>3</v>
      </c>
      <c r="BC287" s="405" t="str">
        <f>IF(ISBLANK(Таблица7[[#This Row],[Дополнительное оружие]]),"", VLOOKUP(Таблица7[[#This Row],[Дополнительное оружие]], Оружие[#All], 3, 0))</f>
        <v/>
      </c>
      <c r="BD28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8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8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28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87" s="405">
        <f>Таблица7[[#This Row],[Броня]]+Таблица7[[#This Row],[Щит]]+Таблица7[[#This Row],[навык защиты]]</f>
        <v>19</v>
      </c>
      <c r="BK287" s="1006"/>
      <c r="BL287" s="1006"/>
      <c r="BM287" s="382"/>
      <c r="BN287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87" s="382">
        <v>1</v>
      </c>
      <c r="BP287" s="382">
        <v>0</v>
      </c>
      <c r="BQ287" s="382">
        <v>0</v>
      </c>
      <c r="BR287" s="382">
        <v>-1</v>
      </c>
      <c r="BS287" s="382">
        <v>0</v>
      </c>
      <c r="BT287" s="382">
        <v>8</v>
      </c>
      <c r="BU287" s="978" t="s">
        <v>1576</v>
      </c>
      <c r="BV287" s="978" t="s">
        <v>1843</v>
      </c>
      <c r="BW287" s="382"/>
      <c r="BX287" s="382"/>
      <c r="BY287" s="382"/>
      <c r="BZ287" s="77"/>
    </row>
    <row r="288" spans="1:78" s="75" customFormat="1" ht="40.5" customHeight="1" x14ac:dyDescent="0.25">
      <c r="A288" s="333">
        <v>287</v>
      </c>
      <c r="B288" s="283" t="s">
        <v>1362</v>
      </c>
      <c r="C288" s="283"/>
      <c r="D288" s="117" t="s">
        <v>1556</v>
      </c>
      <c r="E288" s="117" t="s">
        <v>1448</v>
      </c>
      <c r="F288" s="117"/>
      <c r="G288" s="117"/>
      <c r="H288" s="117"/>
      <c r="I288" s="650">
        <v>0.3</v>
      </c>
      <c r="J288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288" s="599">
        <f>Таблица7[[#This Row],[Размер отряда минимум]]*1.25</f>
        <v>33.75</v>
      </c>
      <c r="L288" s="599">
        <f>Таблица7[[#This Row],[Размер отряда норма]]*1.5</f>
        <v>50.625</v>
      </c>
      <c r="M288" s="600">
        <f>Таблица7[[#This Row],[Размер отряда минимум]]*2.5</f>
        <v>67.5</v>
      </c>
      <c r="N288" s="600"/>
      <c r="O288" s="600"/>
      <c r="P288" s="600"/>
      <c r="Q288" s="600"/>
      <c r="R288" s="117" t="s">
        <v>18</v>
      </c>
      <c r="S288" s="957" t="s">
        <v>2890</v>
      </c>
      <c r="T288" s="117" t="s">
        <v>975</v>
      </c>
      <c r="U288" s="186" t="s">
        <v>1107</v>
      </c>
      <c r="V288" s="118"/>
      <c r="W288" s="186" t="s">
        <v>1001</v>
      </c>
      <c r="X288" s="341" t="s">
        <v>1691</v>
      </c>
      <c r="Y288" s="341"/>
      <c r="Z288" s="341" t="s">
        <v>1036</v>
      </c>
      <c r="AA288" s="341"/>
      <c r="AB288" s="341" t="s">
        <v>1505</v>
      </c>
      <c r="AC288" s="341"/>
      <c r="AD288" s="801" t="s">
        <v>1158</v>
      </c>
      <c r="AE288" s="801"/>
      <c r="AF288" s="117" t="s">
        <v>1211</v>
      </c>
      <c r="AG288" s="117"/>
      <c r="AH288" s="117" t="s">
        <v>985</v>
      </c>
      <c r="AI288" s="117"/>
      <c r="AJ288" s="186" t="s">
        <v>985</v>
      </c>
      <c r="AK288" s="186"/>
      <c r="AL288" s="205" t="s">
        <v>985</v>
      </c>
      <c r="AM288" s="117" t="s">
        <v>977</v>
      </c>
      <c r="AN288" s="232" t="s">
        <v>964</v>
      </c>
      <c r="AO288" s="232"/>
      <c r="AP288" s="117" t="s">
        <v>1106</v>
      </c>
      <c r="AQ288" s="117"/>
      <c r="AS288" s="75">
        <v>1500</v>
      </c>
      <c r="AT288" s="76">
        <v>1550</v>
      </c>
      <c r="AU288" s="405">
        <v>6</v>
      </c>
      <c r="AV288" s="405" t="s">
        <v>1827</v>
      </c>
      <c r="AW288" s="405">
        <f>VLOOKUP(Таблица7[[#This Row],[Основное оружие]], Оружие[#All], 2, 0)</f>
        <v>0</v>
      </c>
      <c r="AX288" s="405">
        <f>IF(ISBLANK(Таблица7[[#This Row],[Дополнительное оружие]]),"", VLOOKUP(Таблица7[[#This Row],[Дополнительное оружие]], Оружие[#All], 2, 0))</f>
        <v>5</v>
      </c>
      <c r="AY28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8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8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288" s="405">
        <f>VLOOKUP(Таблица7[[#This Row],[Основное оружие]], Оружие[#All], 3, 0)</f>
        <v>1</v>
      </c>
      <c r="BC288" s="405">
        <f>IF(ISBLANK(Таблица7[[#This Row],[Дополнительное оружие]]),"", VLOOKUP(Таблица7[[#This Row],[Дополнительное оружие]], Оружие[#All], 3, 0))</f>
        <v>3</v>
      </c>
      <c r="BD28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8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8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28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7</v>
      </c>
      <c r="BJ288" s="405">
        <f>Таблица7[[#This Row],[Броня]]+Таблица7[[#This Row],[Щит]]+Таблица7[[#This Row],[навык защиты]]</f>
        <v>26</v>
      </c>
      <c r="BK288" s="1006"/>
      <c r="BL288" s="1006"/>
      <c r="BM288" s="382"/>
      <c r="BN288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88" s="382">
        <v>1</v>
      </c>
      <c r="BP288" s="382">
        <v>1</v>
      </c>
      <c r="BQ288" s="382">
        <v>0</v>
      </c>
      <c r="BR288" s="382">
        <v>2</v>
      </c>
      <c r="BS288" s="382">
        <v>0</v>
      </c>
      <c r="BT288" s="382">
        <v>8</v>
      </c>
      <c r="BU288" s="978" t="s">
        <v>1576</v>
      </c>
      <c r="BV288" s="978" t="s">
        <v>1843</v>
      </c>
      <c r="BW288" s="382"/>
      <c r="BX288" s="382"/>
      <c r="BY288" s="382"/>
      <c r="BZ288" s="77"/>
    </row>
    <row r="289" spans="1:78" s="75" customFormat="1" ht="40.5" customHeight="1" x14ac:dyDescent="0.25">
      <c r="A289" s="333">
        <v>288</v>
      </c>
      <c r="B289" s="283" t="s">
        <v>1363</v>
      </c>
      <c r="C289" s="283"/>
      <c r="D289" s="117" t="s">
        <v>1556</v>
      </c>
      <c r="E289" s="117" t="s">
        <v>1571</v>
      </c>
      <c r="F289" s="117"/>
      <c r="G289" s="117"/>
      <c r="H289" s="117"/>
      <c r="I289" s="650">
        <v>0.3</v>
      </c>
      <c r="J289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289" s="599">
        <f>Таблица7[[#This Row],[Размер отряда минимум]]*1.25</f>
        <v>37.5</v>
      </c>
      <c r="L289" s="599">
        <f>Таблица7[[#This Row],[Размер отряда норма]]*1.5</f>
        <v>56.25</v>
      </c>
      <c r="M289" s="600">
        <f>Таблица7[[#This Row],[Размер отряда минимум]]*2.5</f>
        <v>75</v>
      </c>
      <c r="N289" s="600"/>
      <c r="O289" s="600"/>
      <c r="P289" s="600"/>
      <c r="Q289" s="600"/>
      <c r="R289" s="117" t="s">
        <v>18</v>
      </c>
      <c r="S289" s="957" t="s">
        <v>2890</v>
      </c>
      <c r="T289" s="117" t="s">
        <v>976</v>
      </c>
      <c r="U289" s="186" t="s">
        <v>1108</v>
      </c>
      <c r="V289" s="118"/>
      <c r="W289" s="117" t="s">
        <v>1001</v>
      </c>
      <c r="X289" s="341" t="s">
        <v>1473</v>
      </c>
      <c r="Y289" s="341"/>
      <c r="Z289" s="341" t="s">
        <v>1440</v>
      </c>
      <c r="AA289" s="341"/>
      <c r="AB289" s="341"/>
      <c r="AC289" s="341"/>
      <c r="AD289" s="801" t="s">
        <v>1158</v>
      </c>
      <c r="AE289" s="801"/>
      <c r="AF289" s="117" t="s">
        <v>1211</v>
      </c>
      <c r="AG289" s="117"/>
      <c r="AH289" s="117" t="s">
        <v>985</v>
      </c>
      <c r="AI289" s="117"/>
      <c r="AJ289" s="186" t="s">
        <v>985</v>
      </c>
      <c r="AK289" s="186"/>
      <c r="AL289" s="205" t="s">
        <v>985</v>
      </c>
      <c r="AM289" s="117" t="s">
        <v>977</v>
      </c>
      <c r="AN289" s="232" t="s">
        <v>964</v>
      </c>
      <c r="AO289" s="232"/>
      <c r="AP289" s="117" t="s">
        <v>1106</v>
      </c>
      <c r="AQ289" s="117"/>
      <c r="AS289" s="75">
        <v>1550</v>
      </c>
      <c r="AT289" s="76"/>
      <c r="AU289" s="405">
        <v>3</v>
      </c>
      <c r="AV289" s="405" t="s">
        <v>1827</v>
      </c>
      <c r="AW289" s="405">
        <f>VLOOKUP(Таблица7[[#This Row],[Основное оружие]], Оружие[#All], 2, 0)</f>
        <v>0</v>
      </c>
      <c r="AX289" s="405">
        <f>IF(ISBLANK(Таблица7[[#This Row],[Дополнительное оружие]]),"", VLOOKUP(Таблица7[[#This Row],[Дополнительное оружие]], Оружие[#All], 2, 0))</f>
        <v>4</v>
      </c>
      <c r="AY28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28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8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289" s="405">
        <f>VLOOKUP(Таблица7[[#This Row],[Основное оружие]], Оружие[#All], 3, 0)</f>
        <v>1</v>
      </c>
      <c r="BC289" s="405">
        <f>IF(ISBLANK(Таблица7[[#This Row],[Дополнительное оружие]]),"", VLOOKUP(Таблица7[[#This Row],[Дополнительное оружие]], Оружие[#All], 3, 0))</f>
        <v>3</v>
      </c>
      <c r="BD28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8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28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8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8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8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89" s="405">
        <f>Таблица7[[#This Row],[Броня]]+Таблица7[[#This Row],[Щит]]+Таблица7[[#This Row],[навык защиты]]</f>
        <v>16</v>
      </c>
      <c r="BK289" s="1006"/>
      <c r="BL289" s="1006"/>
      <c r="BM289" s="382"/>
      <c r="BN289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89" s="382">
        <v>1</v>
      </c>
      <c r="BP289" s="382">
        <v>1</v>
      </c>
      <c r="BQ289" s="382">
        <v>0</v>
      </c>
      <c r="BR289" s="382">
        <v>2</v>
      </c>
      <c r="BS289" s="382">
        <v>0</v>
      </c>
      <c r="BT289" s="382">
        <v>8</v>
      </c>
      <c r="BU289" s="978" t="s">
        <v>1576</v>
      </c>
      <c r="BV289" s="978" t="s">
        <v>1843</v>
      </c>
      <c r="BW289" s="382"/>
      <c r="BX289" s="382"/>
      <c r="BY289" s="382"/>
      <c r="BZ289" s="77"/>
    </row>
    <row r="290" spans="1:78" s="75" customFormat="1" ht="40.5" customHeight="1" x14ac:dyDescent="0.25">
      <c r="A290" s="333">
        <v>289</v>
      </c>
      <c r="B290" s="283" t="s">
        <v>1364</v>
      </c>
      <c r="C290" s="283"/>
      <c r="D290" s="117" t="s">
        <v>1556</v>
      </c>
      <c r="E290" s="117" t="s">
        <v>1562</v>
      </c>
      <c r="F290" s="117"/>
      <c r="G290" s="117"/>
      <c r="H290" s="117"/>
      <c r="I290" s="650">
        <v>0.3</v>
      </c>
      <c r="J290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290" s="599">
        <f>Таблица7[[#This Row],[Размер отряда минимум]]*1.25</f>
        <v>30</v>
      </c>
      <c r="L290" s="599">
        <f>Таблица7[[#This Row],[Размер отряда норма]]*1.5</f>
        <v>45</v>
      </c>
      <c r="M290" s="600">
        <f>Таблица7[[#This Row],[Размер отряда минимум]]*2.5</f>
        <v>60</v>
      </c>
      <c r="N290" s="600"/>
      <c r="O290" s="600"/>
      <c r="P290" s="600"/>
      <c r="Q290" s="600"/>
      <c r="R290" s="117" t="s">
        <v>18</v>
      </c>
      <c r="S290" s="957" t="s">
        <v>2890</v>
      </c>
      <c r="T290" s="117" t="s">
        <v>975</v>
      </c>
      <c r="U290" s="186" t="s">
        <v>1109</v>
      </c>
      <c r="V290" s="118"/>
      <c r="W290" s="117" t="s">
        <v>1001</v>
      </c>
      <c r="X290" s="117" t="s">
        <v>2309</v>
      </c>
      <c r="Y290" s="117"/>
      <c r="Z290" s="117"/>
      <c r="AA290" s="117"/>
      <c r="AB290" s="117"/>
      <c r="AC290" s="117"/>
      <c r="AD290" s="801" t="s">
        <v>1002</v>
      </c>
      <c r="AE290" s="801"/>
      <c r="AF290" s="74" t="s">
        <v>985</v>
      </c>
      <c r="AG290" s="74"/>
      <c r="AH290" s="74" t="s">
        <v>985</v>
      </c>
      <c r="AI290" s="74"/>
      <c r="AJ290" s="411" t="s">
        <v>1004</v>
      </c>
      <c r="AK290" s="411"/>
      <c r="AL290" s="205" t="s">
        <v>985</v>
      </c>
      <c r="AM290" s="924" t="s">
        <v>935</v>
      </c>
      <c r="AN290" s="232" t="s">
        <v>964</v>
      </c>
      <c r="AO290" s="232"/>
      <c r="AP290" s="117" t="s">
        <v>1111</v>
      </c>
      <c r="AQ290" s="117"/>
      <c r="AS290" s="75">
        <v>1500</v>
      </c>
      <c r="AT290" s="76">
        <v>1550</v>
      </c>
      <c r="AU290" s="405">
        <v>7</v>
      </c>
      <c r="AV290" s="405"/>
      <c r="AW290" s="405">
        <f>VLOOKUP(Таблица7[[#This Row],[Основное оружие]], Оружие[#All], 2, 0)</f>
        <v>3</v>
      </c>
      <c r="AX290" s="405" t="str">
        <f>IF(ISBLANK(Таблица7[[#This Row],[Дополнительное оружие]]),"", VLOOKUP(Таблица7[[#This Row],[Дополнительное оружие]], Оружие[#All], 2, 0))</f>
        <v/>
      </c>
      <c r="AY29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9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29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90" s="405">
        <f>VLOOKUP(Таблица7[[#This Row],[Основное оружие]], Оружие[#All], 3, 0)</f>
        <v>3</v>
      </c>
      <c r="BC290" s="405" t="str">
        <f>IF(ISBLANK(Таблица7[[#This Row],[Дополнительное оружие]]),"", VLOOKUP(Таблица7[[#This Row],[Дополнительное оружие]], Оружие[#All], 3, 0))</f>
        <v/>
      </c>
      <c r="BD29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29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9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9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9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7</v>
      </c>
      <c r="BI29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0" s="405">
        <f>Таблица7[[#This Row],[Броня]]+Таблица7[[#This Row],[Щит]]+Таблица7[[#This Row],[навык защиты]]</f>
        <v>27</v>
      </c>
      <c r="BK290" s="1006"/>
      <c r="BL290" s="1008" t="s">
        <v>1585</v>
      </c>
      <c r="BM290" s="382"/>
      <c r="BN290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90" s="382">
        <v>1</v>
      </c>
      <c r="BP290" s="382">
        <v>0</v>
      </c>
      <c r="BQ290" s="382">
        <v>0</v>
      </c>
      <c r="BR290" s="382">
        <v>-1</v>
      </c>
      <c r="BS290" s="382">
        <v>0</v>
      </c>
      <c r="BT290" s="382">
        <v>9</v>
      </c>
      <c r="BU290" s="978" t="s">
        <v>1840</v>
      </c>
      <c r="BV290" s="978" t="s">
        <v>1844</v>
      </c>
      <c r="BW290" s="382"/>
      <c r="BX290" s="382"/>
      <c r="BY290" s="382"/>
      <c r="BZ290" s="77"/>
    </row>
    <row r="291" spans="1:78" s="75" customFormat="1" ht="40.5" customHeight="1" x14ac:dyDescent="0.25">
      <c r="A291" s="333">
        <v>290</v>
      </c>
      <c r="B291" s="283" t="s">
        <v>1365</v>
      </c>
      <c r="C291" s="283"/>
      <c r="D291" s="117" t="s">
        <v>1555</v>
      </c>
      <c r="E291" s="117" t="s">
        <v>1558</v>
      </c>
      <c r="F291" s="117"/>
      <c r="G291" s="117"/>
      <c r="H291" s="117"/>
      <c r="I291" s="650">
        <v>0.75</v>
      </c>
      <c r="J291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291" s="599">
        <f>Таблица7[[#This Row],[Размер отряда минимум]]*1.25</f>
        <v>33.75</v>
      </c>
      <c r="L291" s="599">
        <f>Таблица7[[#This Row],[Размер отряда норма]]*1.5</f>
        <v>50.625</v>
      </c>
      <c r="M291" s="600">
        <f>Таблица7[[#This Row],[Размер отряда минимум]]*2.5</f>
        <v>67.5</v>
      </c>
      <c r="N291" s="600"/>
      <c r="O291" s="600"/>
      <c r="P291" s="600"/>
      <c r="Q291" s="600"/>
      <c r="R291" s="117" t="s">
        <v>18</v>
      </c>
      <c r="S291" s="957" t="s">
        <v>2890</v>
      </c>
      <c r="T291" s="117" t="s">
        <v>975</v>
      </c>
      <c r="U291" s="186" t="s">
        <v>1110</v>
      </c>
      <c r="V291" s="118"/>
      <c r="W291" s="117" t="s">
        <v>1001</v>
      </c>
      <c r="X291" s="442" t="s">
        <v>1528</v>
      </c>
      <c r="Y291" s="442"/>
      <c r="Z291" s="341" t="s">
        <v>1439</v>
      </c>
      <c r="AA291" s="341"/>
      <c r="AB291" s="341"/>
      <c r="AC291" s="341"/>
      <c r="AD291" s="186" t="s">
        <v>985</v>
      </c>
      <c r="AE291" s="186"/>
      <c r="AF291" s="117" t="s">
        <v>1027</v>
      </c>
      <c r="AG291" s="117"/>
      <c r="AH291" s="117" t="s">
        <v>1202</v>
      </c>
      <c r="AI291" s="117"/>
      <c r="AJ291" s="186" t="s">
        <v>985</v>
      </c>
      <c r="AK291" s="186"/>
      <c r="AL291" s="205" t="s">
        <v>985</v>
      </c>
      <c r="AM291" s="117" t="s">
        <v>978</v>
      </c>
      <c r="AN291" s="117" t="s">
        <v>1023</v>
      </c>
      <c r="AO291" s="117"/>
      <c r="AP291" s="117" t="s">
        <v>1106</v>
      </c>
      <c r="AQ291" s="117"/>
      <c r="AS291" s="75">
        <v>1500</v>
      </c>
      <c r="AT291" s="76">
        <v>1550</v>
      </c>
      <c r="AU291" s="405">
        <v>8</v>
      </c>
      <c r="AV291" s="405"/>
      <c r="AW291" s="405">
        <f>VLOOKUP(Таблица7[[#This Row],[Основное оружие]], Оружие[#All], 2, 0)</f>
        <v>2</v>
      </c>
      <c r="AX291" s="405">
        <f>IF(ISBLANK(Таблица7[[#This Row],[Дополнительное оружие]]),"", VLOOKUP(Таблица7[[#This Row],[Дополнительное оружие]], Оружие[#All], 2, 0))</f>
        <v>3</v>
      </c>
      <c r="AY29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9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9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291" s="405">
        <f>VLOOKUP(Таблица7[[#This Row],[Основное оружие]], Оружие[#All], 3, 0)</f>
        <v>6</v>
      </c>
      <c r="BC291" s="405">
        <f>IF(ISBLANK(Таблица7[[#This Row],[Дополнительное оружие]]),"", VLOOKUP(Таблица7[[#This Row],[Дополнительное оружие]], Оружие[#All], 3, 0))</f>
        <v>3</v>
      </c>
      <c r="BD29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9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6</v>
      </c>
      <c r="BF291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8</v>
      </c>
      <c r="BG29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9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9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1" s="405">
        <f>Таблица7[[#This Row],[Броня]]+Таблица7[[#This Row],[Щит]]+Таблица7[[#This Row],[навык защиты]]</f>
        <v>8</v>
      </c>
      <c r="BK291" s="1006"/>
      <c r="BL291" s="1006"/>
      <c r="BM291" s="382"/>
      <c r="BN291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91" s="382">
        <v>1</v>
      </c>
      <c r="BP291" s="382">
        <v>-2</v>
      </c>
      <c r="BQ291" s="382">
        <v>0</v>
      </c>
      <c r="BR291" s="382">
        <v>-4</v>
      </c>
      <c r="BS291" s="382">
        <v>-2</v>
      </c>
      <c r="BT291" s="382">
        <v>9</v>
      </c>
      <c r="BU291" s="978" t="s">
        <v>1576</v>
      </c>
      <c r="BV291" s="978" t="s">
        <v>1843</v>
      </c>
      <c r="BW291" s="382"/>
      <c r="BX291" s="382"/>
      <c r="BY291" s="382"/>
      <c r="BZ291" s="77"/>
    </row>
    <row r="292" spans="1:78" s="75" customFormat="1" ht="40.5" customHeight="1" x14ac:dyDescent="0.25">
      <c r="A292" s="333">
        <v>291</v>
      </c>
      <c r="B292" s="283" t="s">
        <v>1366</v>
      </c>
      <c r="C292" s="283"/>
      <c r="D292" s="117" t="s">
        <v>1555</v>
      </c>
      <c r="E292" s="117" t="s">
        <v>1570</v>
      </c>
      <c r="F292" s="117"/>
      <c r="G292" s="117"/>
      <c r="H292" s="117"/>
      <c r="I292" s="650">
        <v>0.75</v>
      </c>
      <c r="J292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292" s="599">
        <f>Таблица7[[#This Row],[Размер отряда минимум]]*1.25</f>
        <v>33.75</v>
      </c>
      <c r="L292" s="599">
        <f>Таблица7[[#This Row],[Размер отряда норма]]*1.5</f>
        <v>50.625</v>
      </c>
      <c r="M292" s="600">
        <f>Таблица7[[#This Row],[Размер отряда минимум]]*2.5</f>
        <v>67.5</v>
      </c>
      <c r="N292" s="600"/>
      <c r="O292" s="600"/>
      <c r="P292" s="600"/>
      <c r="Q292" s="600"/>
      <c r="R292" s="117" t="s">
        <v>18</v>
      </c>
      <c r="S292" s="957" t="s">
        <v>2890</v>
      </c>
      <c r="T292" s="117" t="s">
        <v>975</v>
      </c>
      <c r="U292" s="186" t="s">
        <v>1112</v>
      </c>
      <c r="V292" s="118"/>
      <c r="W292" s="186" t="s">
        <v>1001</v>
      </c>
      <c r="X292" s="355" t="s">
        <v>1474</v>
      </c>
      <c r="Y292" s="355"/>
      <c r="Z292" s="341" t="s">
        <v>1441</v>
      </c>
      <c r="AA292" s="341"/>
      <c r="AB292" s="341"/>
      <c r="AC292" s="341"/>
      <c r="AD292" s="186" t="s">
        <v>985</v>
      </c>
      <c r="AE292" s="186"/>
      <c r="AF292" s="117" t="s">
        <v>1027</v>
      </c>
      <c r="AG292" s="117"/>
      <c r="AH292" s="117" t="s">
        <v>1202</v>
      </c>
      <c r="AI292" s="117"/>
      <c r="AJ292" s="186" t="s">
        <v>985</v>
      </c>
      <c r="AK292" s="186"/>
      <c r="AL292" s="205" t="s">
        <v>985</v>
      </c>
      <c r="AM292" s="117" t="s">
        <v>978</v>
      </c>
      <c r="AN292" s="117" t="s">
        <v>1023</v>
      </c>
      <c r="AO292" s="117"/>
      <c r="AP292" s="117" t="s">
        <v>1106</v>
      </c>
      <c r="AQ292" s="117"/>
      <c r="AS292" s="75">
        <v>1500</v>
      </c>
      <c r="AT292" s="76">
        <v>1550</v>
      </c>
      <c r="AU292" s="405">
        <v>8</v>
      </c>
      <c r="AV292" s="405" t="s">
        <v>1827</v>
      </c>
      <c r="AW292" s="405">
        <f>VLOOKUP(Таблица7[[#This Row],[Основное оружие]], Оружие[#All], 2, 0)</f>
        <v>0</v>
      </c>
      <c r="AX292" s="405">
        <f>IF(ISBLANK(Таблица7[[#This Row],[Дополнительное оружие]]),"", VLOOKUP(Таблица7[[#This Row],[Дополнительное оружие]], Оружие[#All], 2, 0))</f>
        <v>4</v>
      </c>
      <c r="AY29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29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9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292" s="405">
        <f>VLOOKUP(Таблица7[[#This Row],[Основное оружие]], Оружие[#All], 3, 0)</f>
        <v>1</v>
      </c>
      <c r="BC292" s="405">
        <f>IF(ISBLANK(Таблица7[[#This Row],[Дополнительное оружие]]),"", VLOOKUP(Таблица7[[#This Row],[Дополнительное оружие]], Оружие[#All], 3, 0))</f>
        <v>3</v>
      </c>
      <c r="BD29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9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6</v>
      </c>
      <c r="BF292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8</v>
      </c>
      <c r="BG29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9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9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2" s="405">
        <f>Таблица7[[#This Row],[Броня]]+Таблица7[[#This Row],[Щит]]+Таблица7[[#This Row],[навык защиты]]</f>
        <v>8</v>
      </c>
      <c r="BK292" s="1006"/>
      <c r="BL292" s="1006"/>
      <c r="BM292" s="382"/>
      <c r="BN292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92" s="382">
        <v>1</v>
      </c>
      <c r="BP292" s="382">
        <v>-2</v>
      </c>
      <c r="BQ292" s="382">
        <v>0</v>
      </c>
      <c r="BR292" s="382">
        <v>-4</v>
      </c>
      <c r="BS292" s="382">
        <v>-2</v>
      </c>
      <c r="BT292" s="382">
        <v>9</v>
      </c>
      <c r="BU292" s="978" t="s">
        <v>1576</v>
      </c>
      <c r="BV292" s="978" t="s">
        <v>1843</v>
      </c>
      <c r="BW292" s="382"/>
      <c r="BX292" s="382"/>
      <c r="BY292" s="382"/>
      <c r="BZ292" s="77"/>
    </row>
    <row r="293" spans="1:78" s="75" customFormat="1" ht="40.5" customHeight="1" x14ac:dyDescent="0.25">
      <c r="A293" s="333">
        <v>292</v>
      </c>
      <c r="B293" s="283" t="s">
        <v>1367</v>
      </c>
      <c r="C293" s="283"/>
      <c r="D293" s="117" t="s">
        <v>1555</v>
      </c>
      <c r="E293" s="117" t="s">
        <v>1547</v>
      </c>
      <c r="F293" s="117"/>
      <c r="G293" s="117"/>
      <c r="H293" s="117"/>
      <c r="I293" s="650">
        <v>0.5</v>
      </c>
      <c r="J293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293" s="599">
        <f>Таблица7[[#This Row],[Размер отряда минимум]]*1.25</f>
        <v>12.5</v>
      </c>
      <c r="L293" s="599">
        <f>Таблица7[[#This Row],[Размер отряда норма]]*1.5</f>
        <v>18.75</v>
      </c>
      <c r="M293" s="600">
        <f>Таблица7[[#This Row],[Размер отряда минимум]]*2.5</f>
        <v>25</v>
      </c>
      <c r="N293" s="600"/>
      <c r="O293" s="600"/>
      <c r="P293" s="600"/>
      <c r="Q293" s="600"/>
      <c r="R293" s="117" t="s">
        <v>18</v>
      </c>
      <c r="S293" s="957" t="s">
        <v>2890</v>
      </c>
      <c r="T293" s="117" t="s">
        <v>975</v>
      </c>
      <c r="U293" s="186" t="s">
        <v>1007</v>
      </c>
      <c r="V293" s="118"/>
      <c r="W293" s="117" t="s">
        <v>1001</v>
      </c>
      <c r="X293" s="442" t="s">
        <v>1528</v>
      </c>
      <c r="Y293" s="442"/>
      <c r="Z293" s="117" t="s">
        <v>1512</v>
      </c>
      <c r="AA293" s="117"/>
      <c r="AB293" s="117"/>
      <c r="AC293" s="117"/>
      <c r="AD293" s="186" t="s">
        <v>1004</v>
      </c>
      <c r="AE293" s="186"/>
      <c r="AF293" s="117" t="s">
        <v>985</v>
      </c>
      <c r="AG293" s="117"/>
      <c r="AH293" s="117" t="s">
        <v>985</v>
      </c>
      <c r="AI293" s="117"/>
      <c r="AJ293" s="186" t="s">
        <v>985</v>
      </c>
      <c r="AK293" s="186"/>
      <c r="AL293" s="205" t="s">
        <v>1163</v>
      </c>
      <c r="AM293" s="117" t="s">
        <v>935</v>
      </c>
      <c r="AN293" s="117" t="s">
        <v>952</v>
      </c>
      <c r="AO293" s="117"/>
      <c r="AP293" s="117" t="s">
        <v>1106</v>
      </c>
      <c r="AQ293" s="117"/>
      <c r="AS293" s="75">
        <v>1500</v>
      </c>
      <c r="AT293" s="76">
        <v>1565</v>
      </c>
      <c r="AU293" s="405">
        <v>10</v>
      </c>
      <c r="AV293" s="405"/>
      <c r="AW293" s="405">
        <f>VLOOKUP(Таблица7[[#This Row],[Основное оружие]], Оружие[#All], 2, 0)</f>
        <v>2</v>
      </c>
      <c r="AX293" s="405">
        <f>IF(ISBLANK(Таблица7[[#This Row],[Дополнительное оружие]]),"", VLOOKUP(Таблица7[[#This Row],[Дополнительное оружие]], Оружие[#All], 2, 0))</f>
        <v>4</v>
      </c>
      <c r="AY29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9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29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93" s="405">
        <f>VLOOKUP(Таблица7[[#This Row],[Основное оружие]], Оружие[#All], 3, 0)</f>
        <v>6</v>
      </c>
      <c r="BC293" s="405">
        <f>IF(ISBLANK(Таблица7[[#This Row],[Дополнительное оружие]]),"", VLOOKUP(Таблица7[[#This Row],[Дополнительное оружие]], Оружие[#All], 3, 0))</f>
        <v>6</v>
      </c>
      <c r="BD29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29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9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9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9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9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3" s="405">
        <f>Таблица7[[#This Row],[Броня]]+Таблица7[[#This Row],[Щит]]+Таблица7[[#This Row],[навык защиты]]</f>
        <v>29</v>
      </c>
      <c r="BK293" s="1006"/>
      <c r="BL293" s="1006"/>
      <c r="BM293" s="382"/>
      <c r="BN293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93" s="382">
        <v>1</v>
      </c>
      <c r="BP293" s="382">
        <v>-2</v>
      </c>
      <c r="BQ293" s="382">
        <v>0</v>
      </c>
      <c r="BR293" s="382">
        <v>-4</v>
      </c>
      <c r="BS293" s="382">
        <v>-2</v>
      </c>
      <c r="BT293" s="382">
        <v>11</v>
      </c>
      <c r="BU293" s="978" t="s">
        <v>1840</v>
      </c>
      <c r="BV293" s="978" t="s">
        <v>1844</v>
      </c>
      <c r="BW293" s="382"/>
      <c r="BX293" s="382"/>
      <c r="BY293" s="382"/>
      <c r="BZ293" s="77"/>
    </row>
    <row r="294" spans="1:78" s="75" customFormat="1" ht="40.5" customHeight="1" x14ac:dyDescent="0.25">
      <c r="A294" s="333">
        <v>293</v>
      </c>
      <c r="B294" s="318" t="s">
        <v>1430</v>
      </c>
      <c r="C294" s="318"/>
      <c r="D294" s="117" t="s">
        <v>1555</v>
      </c>
      <c r="E294" s="117" t="s">
        <v>1547</v>
      </c>
      <c r="F294" s="117"/>
      <c r="G294" s="117"/>
      <c r="H294" s="117"/>
      <c r="I294" s="650">
        <v>0.5</v>
      </c>
      <c r="J294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294" s="599">
        <f>Таблица7[[#This Row],[Размер отряда минимум]]*1.25</f>
        <v>15</v>
      </c>
      <c r="L294" s="599">
        <f>Таблица7[[#This Row],[Размер отряда норма]]*1.5</f>
        <v>22.5</v>
      </c>
      <c r="M294" s="600">
        <f>Таблица7[[#This Row],[Размер отряда минимум]]*2.5</f>
        <v>30</v>
      </c>
      <c r="N294" s="600"/>
      <c r="O294" s="600"/>
      <c r="P294" s="600"/>
      <c r="Q294" s="600"/>
      <c r="R294" s="117" t="s">
        <v>18</v>
      </c>
      <c r="S294" s="957" t="s">
        <v>2890</v>
      </c>
      <c r="T294" s="117" t="s">
        <v>976</v>
      </c>
      <c r="U294" s="186" t="s">
        <v>1007</v>
      </c>
      <c r="V294" s="118"/>
      <c r="W294" s="186" t="s">
        <v>1001</v>
      </c>
      <c r="X294" s="777" t="s">
        <v>1950</v>
      </c>
      <c r="Y294" s="117"/>
      <c r="Z294" s="117" t="s">
        <v>1440</v>
      </c>
      <c r="AA294" s="117"/>
      <c r="AB294" s="117"/>
      <c r="AC294" s="117"/>
      <c r="AD294" s="186" t="s">
        <v>1005</v>
      </c>
      <c r="AE294" s="186"/>
      <c r="AF294" s="117" t="s">
        <v>985</v>
      </c>
      <c r="AG294" s="117"/>
      <c r="AH294" s="117" t="s">
        <v>985</v>
      </c>
      <c r="AI294" s="117"/>
      <c r="AJ294" s="186" t="s">
        <v>985</v>
      </c>
      <c r="AK294" s="186"/>
      <c r="AL294" s="205" t="s">
        <v>985</v>
      </c>
      <c r="AM294" s="117" t="s">
        <v>935</v>
      </c>
      <c r="AN294" s="117" t="s">
        <v>952</v>
      </c>
      <c r="AO294" s="117"/>
      <c r="AP294" s="117" t="s">
        <v>1106</v>
      </c>
      <c r="AQ294" s="117"/>
      <c r="AS294" s="75">
        <v>1565</v>
      </c>
      <c r="AT294" s="76"/>
      <c r="AU294" s="405">
        <v>10</v>
      </c>
      <c r="AV294" s="405" t="s">
        <v>1828</v>
      </c>
      <c r="AW294" s="405">
        <f>VLOOKUP(Таблица7[[#This Row],[Основное оружие]], Оружие[#All], 2, 0)</f>
        <v>0</v>
      </c>
      <c r="AX294" s="405">
        <f>IF(ISBLANK(Таблица7[[#This Row],[Дополнительное оружие]]),"", VLOOKUP(Таблица7[[#This Row],[Дополнительное оружие]], Оружие[#All], 2, 0))</f>
        <v>4</v>
      </c>
      <c r="AY29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29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9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294" s="405">
        <f>VLOOKUP(Таблица7[[#This Row],[Основное оружие]], Оружие[#All], 3, 0)</f>
        <v>1</v>
      </c>
      <c r="BC294" s="405">
        <f>IF(ISBLANK(Таблица7[[#This Row],[Дополнительное оружие]]),"", VLOOKUP(Таблица7[[#This Row],[Дополнительное оружие]], Оружие[#All], 3, 0))</f>
        <v>3</v>
      </c>
      <c r="BD29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29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9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9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9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9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4" s="405">
        <f>Таблица7[[#This Row],[Броня]]+Таблица7[[#This Row],[Щит]]+Таблица7[[#This Row],[навык защиты]]</f>
        <v>28</v>
      </c>
      <c r="BK294" s="1006"/>
      <c r="BL294" s="1006"/>
      <c r="BM294" s="382"/>
      <c r="BN294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94" s="382">
        <v>1</v>
      </c>
      <c r="BP294" s="382">
        <v>-2</v>
      </c>
      <c r="BQ294" s="382">
        <v>0</v>
      </c>
      <c r="BR294" s="382">
        <v>-4</v>
      </c>
      <c r="BS294" s="382">
        <v>-2</v>
      </c>
      <c r="BT294" s="382">
        <v>11</v>
      </c>
      <c r="BU294" s="978" t="s">
        <v>1840</v>
      </c>
      <c r="BV294" s="978" t="s">
        <v>1844</v>
      </c>
      <c r="BW294" s="382"/>
      <c r="BX294" s="382"/>
      <c r="BY294" s="382"/>
      <c r="BZ294" s="77"/>
    </row>
    <row r="295" spans="1:78" s="75" customFormat="1" ht="40.5" customHeight="1" x14ac:dyDescent="0.25">
      <c r="A295" s="333">
        <v>294</v>
      </c>
      <c r="B295" s="924" t="s">
        <v>2736</v>
      </c>
      <c r="C295" s="283"/>
      <c r="D295" s="117" t="s">
        <v>1555</v>
      </c>
      <c r="E295" s="117" t="s">
        <v>1547</v>
      </c>
      <c r="F295" s="117"/>
      <c r="G295" s="117"/>
      <c r="H295" s="117"/>
      <c r="I295" s="650">
        <v>0.75</v>
      </c>
      <c r="J295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295" s="599">
        <f>Таблица7[[#This Row],[Размер отряда минимум]]*1.25</f>
        <v>18.75</v>
      </c>
      <c r="L295" s="599">
        <f>Таблица7[[#This Row],[Размер отряда норма]]*1.5</f>
        <v>28.125</v>
      </c>
      <c r="M295" s="600">
        <f>Таблица7[[#This Row],[Размер отряда минимум]]*2.5</f>
        <v>37.5</v>
      </c>
      <c r="N295" s="600"/>
      <c r="O295" s="600"/>
      <c r="P295" s="600"/>
      <c r="Q295" s="600"/>
      <c r="R295" s="117" t="s">
        <v>18</v>
      </c>
      <c r="S295" s="957" t="s">
        <v>2890</v>
      </c>
      <c r="T295" s="117" t="s">
        <v>975</v>
      </c>
      <c r="U295" s="186" t="s">
        <v>1003</v>
      </c>
      <c r="V295" s="118"/>
      <c r="W295" s="117" t="s">
        <v>1001</v>
      </c>
      <c r="X295" s="442" t="s">
        <v>1528</v>
      </c>
      <c r="Y295" s="442"/>
      <c r="Z295" s="117" t="s">
        <v>1036</v>
      </c>
      <c r="AA295" s="117"/>
      <c r="AB295" s="117"/>
      <c r="AC295" s="117"/>
      <c r="AD295" s="186" t="s">
        <v>1002</v>
      </c>
      <c r="AE295" s="186"/>
      <c r="AF295" s="74" t="s">
        <v>985</v>
      </c>
      <c r="AG295" s="74"/>
      <c r="AH295" s="74" t="s">
        <v>985</v>
      </c>
      <c r="AI295" s="74"/>
      <c r="AJ295" s="186" t="s">
        <v>1004</v>
      </c>
      <c r="AK295" s="186"/>
      <c r="AL295" s="205" t="s">
        <v>1163</v>
      </c>
      <c r="AM295" s="117" t="s">
        <v>977</v>
      </c>
      <c r="AN295" s="117" t="s">
        <v>999</v>
      </c>
      <c r="AO295" s="117"/>
      <c r="AP295" s="117" t="s">
        <v>1106</v>
      </c>
      <c r="AQ295" s="117"/>
      <c r="AS295" s="75">
        <v>1500</v>
      </c>
      <c r="AT295" s="76">
        <v>1565</v>
      </c>
      <c r="AU295" s="405">
        <v>8</v>
      </c>
      <c r="AV295" s="405"/>
      <c r="AW295" s="405">
        <f>VLOOKUP(Таблица7[[#This Row],[Основное оружие]], Оружие[#All], 2, 0)</f>
        <v>2</v>
      </c>
      <c r="AX295" s="405">
        <f>IF(ISBLANK(Таблица7[[#This Row],[Дополнительное оружие]]),"", VLOOKUP(Таблица7[[#This Row],[Дополнительное оружие]], Оружие[#All], 2, 0))</f>
        <v>5</v>
      </c>
      <c r="AY29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29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29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295" s="405">
        <f>VLOOKUP(Таблица7[[#This Row],[Основное оружие]], Оружие[#All], 3, 0)</f>
        <v>6</v>
      </c>
      <c r="BC295" s="405">
        <f>IF(ISBLANK(Таблица7[[#This Row],[Дополнительное оружие]]),"", VLOOKUP(Таблица7[[#This Row],[Дополнительное оружие]], Оружие[#All], 3, 0))</f>
        <v>3</v>
      </c>
      <c r="BD29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29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9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95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9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9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5" s="405">
        <f>Таблица7[[#This Row],[Броня]]+Таблица7[[#This Row],[Щит]]+Таблица7[[#This Row],[навык защиты]]</f>
        <v>25</v>
      </c>
      <c r="BK295" s="1006"/>
      <c r="BL295" s="1006"/>
      <c r="BM295" s="382"/>
      <c r="BN295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95" s="382">
        <v>1</v>
      </c>
      <c r="BP295" s="382">
        <v>-2</v>
      </c>
      <c r="BQ295" s="382">
        <v>0</v>
      </c>
      <c r="BR295" s="382">
        <v>-4</v>
      </c>
      <c r="BS295" s="382">
        <v>-2</v>
      </c>
      <c r="BT295" s="382">
        <v>9</v>
      </c>
      <c r="BU295" s="978" t="s">
        <v>1576</v>
      </c>
      <c r="BV295" s="978" t="s">
        <v>1843</v>
      </c>
      <c r="BW295" s="382"/>
      <c r="BX295" s="382"/>
      <c r="BY295" s="382"/>
      <c r="BZ295" s="77"/>
    </row>
    <row r="296" spans="1:78" s="75" customFormat="1" ht="40.5" customHeight="1" x14ac:dyDescent="0.25">
      <c r="A296" s="333">
        <v>295</v>
      </c>
      <c r="B296" s="283" t="s">
        <v>1368</v>
      </c>
      <c r="C296" s="283"/>
      <c r="D296" s="117" t="s">
        <v>1556</v>
      </c>
      <c r="E296" s="117" t="s">
        <v>1570</v>
      </c>
      <c r="F296" s="117"/>
      <c r="G296" s="117"/>
      <c r="H296" s="117"/>
      <c r="I296" s="650">
        <v>0.7</v>
      </c>
      <c r="J296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62.999999999999993</v>
      </c>
      <c r="K296" s="599">
        <f>Таблица7[[#This Row],[Размер отряда минимум]]*1.25</f>
        <v>78.749999999999986</v>
      </c>
      <c r="L296" s="599">
        <f>Таблица7[[#This Row],[Размер отряда норма]]*1.5</f>
        <v>118.12499999999997</v>
      </c>
      <c r="M296" s="600">
        <f>Таблица7[[#This Row],[Размер отряда минимум]]*2.5</f>
        <v>157.49999999999997</v>
      </c>
      <c r="N296" s="600"/>
      <c r="O296" s="600"/>
      <c r="P296" s="600"/>
      <c r="Q296" s="600"/>
      <c r="R296" s="117" t="s">
        <v>18</v>
      </c>
      <c r="S296" s="957" t="s">
        <v>2890</v>
      </c>
      <c r="T296" s="117" t="s">
        <v>975</v>
      </c>
      <c r="U296" s="186" t="s">
        <v>1113</v>
      </c>
      <c r="V296" s="118"/>
      <c r="W296" s="117" t="s">
        <v>984</v>
      </c>
      <c r="X296" s="117" t="s">
        <v>1474</v>
      </c>
      <c r="Y296" s="117"/>
      <c r="Z296" s="637" t="s">
        <v>1098</v>
      </c>
      <c r="AA296" s="637"/>
      <c r="AB296" s="117"/>
      <c r="AC296" s="117"/>
      <c r="AD296" s="186" t="s">
        <v>985</v>
      </c>
      <c r="AE296" s="186"/>
      <c r="AF296" s="117" t="s">
        <v>991</v>
      </c>
      <c r="AG296" s="117"/>
      <c r="AH296" s="117" t="s">
        <v>985</v>
      </c>
      <c r="AI296" s="117"/>
      <c r="AJ296" s="186" t="s">
        <v>985</v>
      </c>
      <c r="AK296" s="186"/>
      <c r="AL296" s="205" t="s">
        <v>985</v>
      </c>
      <c r="AM296" s="117" t="s">
        <v>978</v>
      </c>
      <c r="AN296" s="232" t="s">
        <v>964</v>
      </c>
      <c r="AO296" s="232"/>
      <c r="AP296" s="117" t="s">
        <v>1106</v>
      </c>
      <c r="AQ296" s="117"/>
      <c r="AS296" s="75">
        <v>1500</v>
      </c>
      <c r="AT296" s="76">
        <v>1550</v>
      </c>
      <c r="AU296" s="405">
        <v>6</v>
      </c>
      <c r="AV296" s="405" t="s">
        <v>1828</v>
      </c>
      <c r="AW296" s="405">
        <f>VLOOKUP(Таблица7[[#This Row],[Основное оружие]], Оружие[#All], 2, 0)</f>
        <v>0</v>
      </c>
      <c r="AX296" s="405">
        <f>IF(ISBLANK(Таблица7[[#This Row],[Дополнительное оружие]]),"", VLOOKUP(Таблица7[[#This Row],[Дополнительное оружие]], Оружие[#All], 2, 0))</f>
        <v>3</v>
      </c>
      <c r="AY29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29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9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296" s="405">
        <f>VLOOKUP(Таблица7[[#This Row],[Основное оружие]], Оружие[#All], 3, 0)</f>
        <v>1</v>
      </c>
      <c r="BC296" s="405">
        <f>IF(ISBLANK(Таблица7[[#This Row],[Дополнительное оружие]]),"", VLOOKUP(Таблица7[[#This Row],[Дополнительное оружие]], Оружие[#All], 3, 0))</f>
        <v>3</v>
      </c>
      <c r="BD29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9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29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9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9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29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6" s="405">
        <f>Таблица7[[#This Row],[Броня]]+Таблица7[[#This Row],[Щит]]+Таблица7[[#This Row],[навык защиты]]</f>
        <v>8</v>
      </c>
      <c r="BK296" s="1006"/>
      <c r="BL296" s="1006"/>
      <c r="BM296" s="382"/>
      <c r="BN296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296" s="382">
        <v>1</v>
      </c>
      <c r="BP296" s="382">
        <v>1</v>
      </c>
      <c r="BQ296" s="382">
        <v>0</v>
      </c>
      <c r="BR296" s="382">
        <v>2</v>
      </c>
      <c r="BS296" s="382">
        <v>0</v>
      </c>
      <c r="BT296" s="382">
        <v>8</v>
      </c>
      <c r="BU296" s="978" t="s">
        <v>1576</v>
      </c>
      <c r="BV296" s="978" t="s">
        <v>1843</v>
      </c>
      <c r="BW296" s="382"/>
      <c r="BX296" s="382"/>
      <c r="BY296" s="382"/>
      <c r="BZ296" s="77"/>
    </row>
    <row r="297" spans="1:78" s="75" customFormat="1" ht="40.5" customHeight="1" x14ac:dyDescent="0.25">
      <c r="A297" s="333">
        <v>296</v>
      </c>
      <c r="B297" s="283" t="s">
        <v>1369</v>
      </c>
      <c r="C297" s="283"/>
      <c r="D297" s="117" t="s">
        <v>1556</v>
      </c>
      <c r="E297" s="117" t="s">
        <v>1562</v>
      </c>
      <c r="F297" s="117"/>
      <c r="G297" s="117"/>
      <c r="H297" s="117"/>
      <c r="I297" s="650">
        <v>1</v>
      </c>
      <c r="J297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297" s="599">
        <f>Таблица7[[#This Row],[Размер отряда минимум]]*1.25</f>
        <v>100</v>
      </c>
      <c r="L297" s="599">
        <f>Таблица7[[#This Row],[Размер отряда норма]]*1.5</f>
        <v>150</v>
      </c>
      <c r="M297" s="600">
        <f>Таблица7[[#This Row],[Размер отряда минимум]]*2.5</f>
        <v>200</v>
      </c>
      <c r="N297" s="600"/>
      <c r="O297" s="600"/>
      <c r="P297" s="600"/>
      <c r="Q297" s="600"/>
      <c r="R297" s="117" t="s">
        <v>18</v>
      </c>
      <c r="S297" s="957" t="s">
        <v>2890</v>
      </c>
      <c r="T297" s="117" t="s">
        <v>975</v>
      </c>
      <c r="U297" s="186" t="s">
        <v>1049</v>
      </c>
      <c r="V297" s="118"/>
      <c r="W297" s="117" t="s">
        <v>993</v>
      </c>
      <c r="X297" s="117" t="s">
        <v>994</v>
      </c>
      <c r="Y297" s="117"/>
      <c r="Z297" s="117"/>
      <c r="AA297" s="117"/>
      <c r="AB297" s="117"/>
      <c r="AC297" s="117"/>
      <c r="AD297" s="186" t="s">
        <v>1482</v>
      </c>
      <c r="AE297" s="186"/>
      <c r="AF297" s="117" t="s">
        <v>1481</v>
      </c>
      <c r="AG297" s="117"/>
      <c r="AH297" s="117" t="s">
        <v>985</v>
      </c>
      <c r="AI297" s="117"/>
      <c r="AJ297" s="117" t="s">
        <v>1004</v>
      </c>
      <c r="AK297" s="117"/>
      <c r="AL297" s="205" t="s">
        <v>985</v>
      </c>
      <c r="AM297" s="117" t="s">
        <v>977</v>
      </c>
      <c r="AN297" s="117" t="s">
        <v>992</v>
      </c>
      <c r="AO297" s="117"/>
      <c r="AP297" s="117" t="s">
        <v>1106</v>
      </c>
      <c r="AQ297" s="117"/>
      <c r="AS297" s="75">
        <v>1500</v>
      </c>
      <c r="AT297" s="76">
        <v>1550</v>
      </c>
      <c r="AU297" s="444">
        <v>8</v>
      </c>
      <c r="AV297" s="405"/>
      <c r="AW297" s="405">
        <f>VLOOKUP(Таблица7[[#This Row],[Основное оружие]], Оружие[#All], 2, 0)</f>
        <v>1</v>
      </c>
      <c r="AX297" s="405" t="str">
        <f>IF(ISBLANK(Таблица7[[#This Row],[Дополнительное оружие]]),"", VLOOKUP(Таблица7[[#This Row],[Дополнительное оружие]], Оружие[#All], 2, 0))</f>
        <v/>
      </c>
      <c r="AY29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29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297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97" s="405">
        <f>VLOOKUP(Таблица7[[#This Row],[Основное оружие]], Оружие[#All], 3, 0)</f>
        <v>1</v>
      </c>
      <c r="BC297" s="405" t="str">
        <f>IF(ISBLANK(Таблица7[[#This Row],[Дополнительное оружие]]),"", VLOOKUP(Таблица7[[#This Row],[Дополнительное оружие]], Оружие[#All], 3, 0))</f>
        <v/>
      </c>
      <c r="BD29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29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29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97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29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29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7" s="405">
        <f>Таблица7[[#This Row],[Броня]]+Таблица7[[#This Row],[Щит]]+Таблица7[[#This Row],[навык защиты]]</f>
        <v>23</v>
      </c>
      <c r="BK297" s="1006"/>
      <c r="BL297" s="1006"/>
      <c r="BM297" s="382"/>
      <c r="BN297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297" s="382">
        <v>1</v>
      </c>
      <c r="BP297" s="382">
        <v>-1</v>
      </c>
      <c r="BQ297" s="382">
        <v>0</v>
      </c>
      <c r="BR297" s="382">
        <v>-2</v>
      </c>
      <c r="BS297" s="382">
        <v>0</v>
      </c>
      <c r="BT297" s="382">
        <v>12</v>
      </c>
      <c r="BU297" s="978" t="s">
        <v>1840</v>
      </c>
      <c r="BV297" s="978" t="s">
        <v>1844</v>
      </c>
      <c r="BW297" s="382"/>
      <c r="BX297" s="382"/>
      <c r="BY297" s="382"/>
      <c r="BZ297" s="77"/>
    </row>
    <row r="298" spans="1:78" s="75" customFormat="1" ht="40.5" customHeight="1" x14ac:dyDescent="0.25">
      <c r="A298" s="333">
        <v>297</v>
      </c>
      <c r="B298" s="283" t="s">
        <v>1370</v>
      </c>
      <c r="C298" s="283"/>
      <c r="D298" s="117" t="s">
        <v>1555</v>
      </c>
      <c r="E298" s="442" t="s">
        <v>1571</v>
      </c>
      <c r="F298" s="442"/>
      <c r="G298" s="442"/>
      <c r="H298" s="442"/>
      <c r="I298" s="650">
        <v>0.75</v>
      </c>
      <c r="J298" s="59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</v>
      </c>
      <c r="K298" s="599">
        <f>Таблица7[[#This Row],[Размер отряда минимум]]*1.25</f>
        <v>26.25</v>
      </c>
      <c r="L298" s="599">
        <f>Таблица7[[#This Row],[Размер отряда норма]]*1.5</f>
        <v>39.375</v>
      </c>
      <c r="M298" s="600">
        <f>Таблица7[[#This Row],[Размер отряда минимум]]*2.5</f>
        <v>52.5</v>
      </c>
      <c r="N298" s="600"/>
      <c r="O298" s="600"/>
      <c r="P298" s="600"/>
      <c r="Q298" s="600"/>
      <c r="R298" s="117" t="s">
        <v>18</v>
      </c>
      <c r="S298" s="957" t="s">
        <v>2890</v>
      </c>
      <c r="T298" s="117" t="s">
        <v>975</v>
      </c>
      <c r="U298" s="186" t="s">
        <v>1114</v>
      </c>
      <c r="V298" s="118"/>
      <c r="W298" s="117" t="s">
        <v>1001</v>
      </c>
      <c r="X298" s="117" t="s">
        <v>1468</v>
      </c>
      <c r="Y298" s="117"/>
      <c r="Z298" s="117" t="s">
        <v>1439</v>
      </c>
      <c r="AA298" s="117"/>
      <c r="AB298" s="117"/>
      <c r="AC298" s="117"/>
      <c r="AD298" s="186" t="s">
        <v>1211</v>
      </c>
      <c r="AE298" s="186"/>
      <c r="AF298" s="117" t="s">
        <v>1215</v>
      </c>
      <c r="AG298" s="117"/>
      <c r="AH298" s="117" t="s">
        <v>1481</v>
      </c>
      <c r="AI298" s="117"/>
      <c r="AJ298" s="186" t="s">
        <v>1002</v>
      </c>
      <c r="AK298" s="186"/>
      <c r="AL298" s="205" t="s">
        <v>985</v>
      </c>
      <c r="AM298" s="117" t="s">
        <v>977</v>
      </c>
      <c r="AN298" s="117" t="s">
        <v>1023</v>
      </c>
      <c r="AO298" s="117"/>
      <c r="AP298" s="117" t="s">
        <v>1106</v>
      </c>
      <c r="AQ298" s="117"/>
      <c r="AS298" s="75">
        <v>1510</v>
      </c>
      <c r="AT298" s="76">
        <v>1550</v>
      </c>
      <c r="AU298" s="405">
        <v>6</v>
      </c>
      <c r="AV298" s="405" t="s">
        <v>1826</v>
      </c>
      <c r="AW298" s="405">
        <f>VLOOKUP(Таблица7[[#This Row],[Основное оружие]], Оружие[#All], 2, 0)</f>
        <v>0</v>
      </c>
      <c r="AX298" s="405">
        <f>IF(ISBLANK(Таблица7[[#This Row],[Дополнительное оружие]]),"", VLOOKUP(Таблица7[[#This Row],[Дополнительное оружие]], Оружие[#All], 2, 0))</f>
        <v>3</v>
      </c>
      <c r="AY29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29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29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298" s="405">
        <f>VLOOKUP(Таблица7[[#This Row],[Основное оружие]], Оружие[#All], 3, 0)</f>
        <v>1</v>
      </c>
      <c r="BC298" s="405">
        <f>IF(ISBLANK(Таблица7[[#This Row],[Дополнительное оружие]]),"", VLOOKUP(Таблица7[[#This Row],[Дополнительное оружие]], Оружие[#All], 3, 0))</f>
        <v>3</v>
      </c>
      <c r="BD29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29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14</v>
      </c>
      <c r="BF298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17</v>
      </c>
      <c r="BG29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18</v>
      </c>
      <c r="BH29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29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298" s="405">
        <f>Таблица7[[#This Row],[Броня]]+Таблица7[[#This Row],[Щит]]+Таблица7[[#This Row],[навык защиты]]</f>
        <v>17</v>
      </c>
      <c r="BK298" s="1006"/>
      <c r="BL298" s="1006"/>
      <c r="BM298" s="382"/>
      <c r="BN298" s="97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98" s="382">
        <v>1</v>
      </c>
      <c r="BP298" s="382">
        <v>-2</v>
      </c>
      <c r="BQ298" s="382">
        <v>0</v>
      </c>
      <c r="BR298" s="382">
        <v>-4</v>
      </c>
      <c r="BS298" s="382">
        <v>-2</v>
      </c>
      <c r="BT298" s="382">
        <v>7</v>
      </c>
      <c r="BU298" s="978" t="s">
        <v>1576</v>
      </c>
      <c r="BV298" s="978" t="s">
        <v>1843</v>
      </c>
      <c r="BW298" s="382"/>
      <c r="BX298" s="382"/>
      <c r="BY298" s="382"/>
      <c r="BZ298" s="77"/>
    </row>
    <row r="299" spans="1:78" s="119" customFormat="1" ht="40.5" customHeight="1" x14ac:dyDescent="0.25">
      <c r="A299" s="333">
        <v>298</v>
      </c>
      <c r="B299" s="303" t="s">
        <v>1371</v>
      </c>
      <c r="C299" s="303"/>
      <c r="D299" s="238" t="s">
        <v>1556</v>
      </c>
      <c r="E299" s="238" t="s">
        <v>1560</v>
      </c>
      <c r="F299" s="238"/>
      <c r="G299" s="238"/>
      <c r="H299" s="238"/>
      <c r="I299" s="659">
        <v>1</v>
      </c>
      <c r="J299" s="61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299" s="617">
        <f>Таблица7[[#This Row],[Размер отряда минимум]]*1.25</f>
        <v>112.5</v>
      </c>
      <c r="L299" s="617">
        <f>Таблица7[[#This Row],[Размер отряда норма]]*1.5</f>
        <v>168.75</v>
      </c>
      <c r="M299" s="618">
        <f>Таблица7[[#This Row],[Размер отряда минимум]]*2.5</f>
        <v>225</v>
      </c>
      <c r="N299" s="618"/>
      <c r="O299" s="618"/>
      <c r="P299" s="618"/>
      <c r="Q299" s="618"/>
      <c r="R299" s="120" t="s">
        <v>19</v>
      </c>
      <c r="S299" s="965" t="s">
        <v>2891</v>
      </c>
      <c r="T299" s="238" t="s">
        <v>975</v>
      </c>
      <c r="U299" s="240" t="s">
        <v>1501</v>
      </c>
      <c r="V299" s="239"/>
      <c r="W299" s="238" t="s">
        <v>984</v>
      </c>
      <c r="X299" s="238" t="s">
        <v>1059</v>
      </c>
      <c r="Y299" s="238"/>
      <c r="Z299" s="238"/>
      <c r="AA299" s="238"/>
      <c r="AB299" s="238" t="s">
        <v>1505</v>
      </c>
      <c r="AC299" s="238"/>
      <c r="AD299" s="240" t="s">
        <v>985</v>
      </c>
      <c r="AE299" s="240"/>
      <c r="AF299" s="238" t="s">
        <v>985</v>
      </c>
      <c r="AG299" s="238"/>
      <c r="AH299" s="238" t="s">
        <v>985</v>
      </c>
      <c r="AI299" s="238"/>
      <c r="AJ299" s="238" t="s">
        <v>985</v>
      </c>
      <c r="AK299" s="238"/>
      <c r="AL299" s="206" t="s">
        <v>985</v>
      </c>
      <c r="AM299" s="119" t="s">
        <v>935</v>
      </c>
      <c r="AN299" s="119" t="s">
        <v>955</v>
      </c>
      <c r="AP299" s="238" t="s">
        <v>1184</v>
      </c>
      <c r="AQ299" s="238"/>
      <c r="AS299" s="119">
        <v>1500</v>
      </c>
      <c r="AT299" s="121">
        <v>1550</v>
      </c>
      <c r="AU299" s="405">
        <v>2</v>
      </c>
      <c r="AV299" s="405"/>
      <c r="AW299" s="405">
        <f>VLOOKUP(Таблица7[[#This Row],[Основное оружие]], Оружие[#All], 2, 0)</f>
        <v>2</v>
      </c>
      <c r="AX299" s="405" t="str">
        <f>IF(ISBLANK(Таблица7[[#This Row],[Дополнительное оружие]]),"", VLOOKUP(Таблица7[[#This Row],[Дополнительное оружие]], Оружие[#All], 2, 0))</f>
        <v/>
      </c>
      <c r="AY29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29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29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299" s="405">
        <f>VLOOKUP(Таблица7[[#This Row],[Основное оружие]], Оружие[#All], 3, 0)</f>
        <v>3</v>
      </c>
      <c r="BC299" s="405" t="str">
        <f>IF(ISBLANK(Таблица7[[#This Row],[Дополнительное оружие]]),"", VLOOKUP(Таблица7[[#This Row],[Дополнительное оружие]], Оружие[#All], 3, 0))</f>
        <v/>
      </c>
      <c r="BD29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29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29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29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29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29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7</v>
      </c>
      <c r="BJ299" s="405">
        <f>Таблица7[[#This Row],[Броня]]+Таблица7[[#This Row],[Щит]]+Таблица7[[#This Row],[навык защиты]]</f>
        <v>11</v>
      </c>
      <c r="BK299" s="1006"/>
      <c r="BL299" s="1006"/>
      <c r="BM299" s="391"/>
      <c r="BN299" s="98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299" s="391">
        <v>1</v>
      </c>
      <c r="BP299" s="391">
        <v>0</v>
      </c>
      <c r="BQ299" s="391">
        <v>0</v>
      </c>
      <c r="BR299" s="391">
        <v>-1</v>
      </c>
      <c r="BS299" s="391">
        <v>0</v>
      </c>
      <c r="BT299" s="391">
        <v>2</v>
      </c>
      <c r="BU299" s="988" t="s">
        <v>1839</v>
      </c>
      <c r="BV299" s="988" t="s">
        <v>1842</v>
      </c>
      <c r="BW299" s="391"/>
      <c r="BX299" s="391"/>
      <c r="BY299" s="391"/>
      <c r="BZ299" s="122"/>
    </row>
    <row r="300" spans="1:78" s="119" customFormat="1" ht="40.5" customHeight="1" x14ac:dyDescent="0.25">
      <c r="A300" s="333">
        <v>299</v>
      </c>
      <c r="B300" s="303" t="s">
        <v>1372</v>
      </c>
      <c r="C300" s="303"/>
      <c r="D300" s="238" t="s">
        <v>1556</v>
      </c>
      <c r="E300" s="238" t="s">
        <v>1570</v>
      </c>
      <c r="F300" s="238"/>
      <c r="G300" s="238"/>
      <c r="H300" s="238"/>
      <c r="I300" s="659">
        <v>1</v>
      </c>
      <c r="J300" s="61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300" s="617">
        <f>Таблица7[[#This Row],[Размер отряда минимум]]*1.25</f>
        <v>125</v>
      </c>
      <c r="L300" s="617">
        <f>Таблица7[[#This Row],[Размер отряда норма]]*1.5</f>
        <v>187.5</v>
      </c>
      <c r="M300" s="618">
        <f>Таблица7[[#This Row],[Размер отряда минимум]]*2.5</f>
        <v>250</v>
      </c>
      <c r="N300" s="618"/>
      <c r="O300" s="618"/>
      <c r="P300" s="618"/>
      <c r="Q300" s="618"/>
      <c r="R300" s="120" t="s">
        <v>19</v>
      </c>
      <c r="S300" s="965" t="s">
        <v>2891</v>
      </c>
      <c r="T300" s="238" t="s">
        <v>976</v>
      </c>
      <c r="U300" s="240" t="s">
        <v>1176</v>
      </c>
      <c r="V300" s="239"/>
      <c r="W300" s="238" t="s">
        <v>984</v>
      </c>
      <c r="X300" s="238" t="s">
        <v>1469</v>
      </c>
      <c r="Y300" s="238"/>
      <c r="Z300" s="483" t="s">
        <v>1579</v>
      </c>
      <c r="AA300" s="483"/>
      <c r="AB300" s="238"/>
      <c r="AC300" s="238"/>
      <c r="AD300" s="240" t="s">
        <v>985</v>
      </c>
      <c r="AE300" s="240"/>
      <c r="AF300" s="238" t="s">
        <v>985</v>
      </c>
      <c r="AG300" s="238"/>
      <c r="AH300" s="238" t="s">
        <v>985</v>
      </c>
      <c r="AI300" s="238"/>
      <c r="AJ300" s="238" t="s">
        <v>985</v>
      </c>
      <c r="AK300" s="238"/>
      <c r="AL300" s="206" t="s">
        <v>985</v>
      </c>
      <c r="AM300" s="119" t="s">
        <v>935</v>
      </c>
      <c r="AN300" s="119" t="s">
        <v>955</v>
      </c>
      <c r="AP300" s="238" t="s">
        <v>1184</v>
      </c>
      <c r="AQ300" s="238"/>
      <c r="AS300" s="119">
        <v>1550</v>
      </c>
      <c r="AT300" s="121"/>
      <c r="AU300" s="405">
        <v>1</v>
      </c>
      <c r="AV300" s="405" t="s">
        <v>1827</v>
      </c>
      <c r="AW300" s="405">
        <f>VLOOKUP(Таблица7[[#This Row],[Основное оружие]], Оружие[#All], 2, 0)</f>
        <v>0</v>
      </c>
      <c r="AX300" s="405">
        <f>IF(ISBLANK(Таблица7[[#This Row],[Дополнительное оружие]]),"", VLOOKUP(Таблица7[[#This Row],[Дополнительное оружие]], Оружие[#All], 2, 0))</f>
        <v>1</v>
      </c>
      <c r="AY30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0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0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4</v>
      </c>
      <c r="BB300" s="405">
        <f>VLOOKUP(Таблица7[[#This Row],[Основное оружие]], Оружие[#All], 3, 0)</f>
        <v>1</v>
      </c>
      <c r="BC300" s="405">
        <f>IF(ISBLANK(Таблица7[[#This Row],[Дополнительное оружие]]),"", VLOOKUP(Таблица7[[#This Row],[Дополнительное оружие]], Оружие[#All], 3, 0))</f>
        <v>1</v>
      </c>
      <c r="BD30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0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0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0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0" s="405">
        <f>Таблица7[[#This Row],[Броня]]+Таблица7[[#This Row],[Щит]]+Таблица7[[#This Row],[навык защиты]]</f>
        <v>3</v>
      </c>
      <c r="BK300" s="1006"/>
      <c r="BL300" s="1006"/>
      <c r="BM300" s="391"/>
      <c r="BN300" s="98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00" s="391">
        <v>1</v>
      </c>
      <c r="BP300" s="391">
        <v>1</v>
      </c>
      <c r="BQ300" s="391">
        <v>0</v>
      </c>
      <c r="BR300" s="391">
        <v>2</v>
      </c>
      <c r="BS300" s="391">
        <v>0</v>
      </c>
      <c r="BT300" s="391">
        <v>2</v>
      </c>
      <c r="BU300" s="988" t="s">
        <v>1839</v>
      </c>
      <c r="BV300" s="988" t="s">
        <v>1842</v>
      </c>
      <c r="BW300" s="391"/>
      <c r="BX300" s="391"/>
      <c r="BY300" s="391"/>
      <c r="BZ300" s="122"/>
    </row>
    <row r="301" spans="1:78" s="119" customFormat="1" ht="40.5" customHeight="1" x14ac:dyDescent="0.25">
      <c r="A301" s="333">
        <v>300</v>
      </c>
      <c r="B301" s="303" t="s">
        <v>1373</v>
      </c>
      <c r="C301" s="303"/>
      <c r="D301" s="238" t="s">
        <v>1556</v>
      </c>
      <c r="E301" s="238" t="s">
        <v>1561</v>
      </c>
      <c r="F301" s="238"/>
      <c r="G301" s="238"/>
      <c r="H301" s="238"/>
      <c r="I301" s="659">
        <v>0.6</v>
      </c>
      <c r="J301" s="61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54</v>
      </c>
      <c r="K301" s="617">
        <f>Таблица7[[#This Row],[Размер отряда минимум]]*1.25</f>
        <v>67.5</v>
      </c>
      <c r="L301" s="617">
        <f>Таблица7[[#This Row],[Размер отряда норма]]*1.5</f>
        <v>101.25</v>
      </c>
      <c r="M301" s="618">
        <f>Таблица7[[#This Row],[Размер отряда минимум]]*2.5</f>
        <v>135</v>
      </c>
      <c r="N301" s="618"/>
      <c r="O301" s="618"/>
      <c r="P301" s="618"/>
      <c r="Q301" s="618"/>
      <c r="R301" s="120" t="s">
        <v>19</v>
      </c>
      <c r="S301" s="965" t="s">
        <v>2891</v>
      </c>
      <c r="T301" s="238" t="s">
        <v>975</v>
      </c>
      <c r="U301" s="240" t="s">
        <v>1185</v>
      </c>
      <c r="V301" s="239"/>
      <c r="W301" s="240" t="s">
        <v>993</v>
      </c>
      <c r="X301" s="238" t="s">
        <v>994</v>
      </c>
      <c r="Y301" s="238"/>
      <c r="Z301" s="238"/>
      <c r="AA301" s="238"/>
      <c r="AB301" s="238"/>
      <c r="AC301" s="238"/>
      <c r="AD301" s="240" t="s">
        <v>1158</v>
      </c>
      <c r="AE301" s="240"/>
      <c r="AF301" s="238" t="s">
        <v>1211</v>
      </c>
      <c r="AG301" s="238"/>
      <c r="AH301" s="238" t="s">
        <v>985</v>
      </c>
      <c r="AI301" s="238"/>
      <c r="AJ301" s="240" t="s">
        <v>985</v>
      </c>
      <c r="AK301" s="240"/>
      <c r="AL301" s="241" t="s">
        <v>985</v>
      </c>
      <c r="AM301" s="930" t="s">
        <v>935</v>
      </c>
      <c r="AN301" s="238" t="s">
        <v>997</v>
      </c>
      <c r="AO301" s="238"/>
      <c r="AP301" s="238" t="s">
        <v>1186</v>
      </c>
      <c r="AQ301" s="238"/>
      <c r="AS301" s="119">
        <v>1506</v>
      </c>
      <c r="AT301" s="121">
        <v>1550</v>
      </c>
      <c r="AU301" s="444">
        <v>2</v>
      </c>
      <c r="AV301" s="405"/>
      <c r="AW301" s="405">
        <f>VLOOKUP(Таблица7[[#This Row],[Основное оружие]], Оружие[#All], 2, 0)</f>
        <v>1</v>
      </c>
      <c r="AX301" s="405" t="str">
        <f>IF(ISBLANK(Таблица7[[#This Row],[Дополнительное оружие]]),"", VLOOKUP(Таблица7[[#This Row],[Дополнительное оружие]], Оружие[#All], 2, 0))</f>
        <v/>
      </c>
      <c r="AY30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0</v>
      </c>
      <c r="AZ30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</v>
      </c>
      <c r="BA301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01" s="405">
        <f>VLOOKUP(Таблица7[[#This Row],[Основное оружие]], Оружие[#All], 3, 0)</f>
        <v>1</v>
      </c>
      <c r="BC301" s="405" t="str">
        <f>IF(ISBLANK(Таблица7[[#This Row],[Дополнительное оружие]]),"", VLOOKUP(Таблица7[[#This Row],[Дополнительное оружие]], Оружие[#All], 3, 0))</f>
        <v/>
      </c>
      <c r="BD30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0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0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0</v>
      </c>
      <c r="BI30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1" s="405">
        <f>Таблица7[[#This Row],[Броня]]+Таблица7[[#This Row],[Щит]]+Таблица7[[#This Row],[навык защиты]]</f>
        <v>13</v>
      </c>
      <c r="BK301" s="1008"/>
      <c r="BL301" s="1008"/>
      <c r="BM301" s="391"/>
      <c r="BN301" s="98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01" s="391">
        <v>1</v>
      </c>
      <c r="BP301" s="391">
        <v>-1</v>
      </c>
      <c r="BQ301" s="391">
        <v>0</v>
      </c>
      <c r="BR301" s="391">
        <v>-2</v>
      </c>
      <c r="BS301" s="391">
        <v>0</v>
      </c>
      <c r="BT301" s="391">
        <v>3</v>
      </c>
      <c r="BU301" s="988" t="s">
        <v>1839</v>
      </c>
      <c r="BV301" s="988" t="s">
        <v>1843</v>
      </c>
      <c r="BW301" s="391"/>
      <c r="BX301" s="391"/>
      <c r="BY301" s="391"/>
      <c r="BZ301" s="122"/>
    </row>
    <row r="302" spans="1:78" s="119" customFormat="1" ht="40.5" customHeight="1" x14ac:dyDescent="0.25">
      <c r="A302" s="333">
        <v>301</v>
      </c>
      <c r="B302" s="303" t="s">
        <v>1374</v>
      </c>
      <c r="C302" s="303"/>
      <c r="D302" s="238" t="s">
        <v>1556</v>
      </c>
      <c r="E302" s="238" t="s">
        <v>1448</v>
      </c>
      <c r="F302" s="238"/>
      <c r="G302" s="238"/>
      <c r="H302" s="238"/>
      <c r="I302" s="659">
        <v>0.5</v>
      </c>
      <c r="J302" s="61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45</v>
      </c>
      <c r="K302" s="617">
        <f>Таблица7[[#This Row],[Размер отряда минимум]]*1.25</f>
        <v>56.25</v>
      </c>
      <c r="L302" s="617">
        <f>Таблица7[[#This Row],[Размер отряда норма]]*1.5</f>
        <v>84.375</v>
      </c>
      <c r="M302" s="618">
        <f>Таблица7[[#This Row],[Размер отряда минимум]]*2.5</f>
        <v>112.5</v>
      </c>
      <c r="N302" s="618"/>
      <c r="O302" s="618"/>
      <c r="P302" s="618"/>
      <c r="Q302" s="618"/>
      <c r="R302" s="120" t="s">
        <v>19</v>
      </c>
      <c r="S302" s="965" t="s">
        <v>2891</v>
      </c>
      <c r="T302" s="238" t="s">
        <v>975</v>
      </c>
      <c r="U302" s="746" t="s">
        <v>1193</v>
      </c>
      <c r="V302" s="254"/>
      <c r="W302" s="238" t="s">
        <v>993</v>
      </c>
      <c r="X302" s="253" t="s">
        <v>1194</v>
      </c>
      <c r="Y302" s="253"/>
      <c r="Z302" s="253"/>
      <c r="AA302" s="253"/>
      <c r="AB302" s="253"/>
      <c r="AC302" s="253"/>
      <c r="AD302" s="240" t="s">
        <v>1158</v>
      </c>
      <c r="AE302" s="240"/>
      <c r="AF302" s="238" t="s">
        <v>1211</v>
      </c>
      <c r="AG302" s="238"/>
      <c r="AH302" s="238" t="s">
        <v>985</v>
      </c>
      <c r="AI302" s="238"/>
      <c r="AJ302" s="240" t="s">
        <v>985</v>
      </c>
      <c r="AK302" s="240"/>
      <c r="AL302" s="241" t="s">
        <v>985</v>
      </c>
      <c r="AM302" s="238" t="s">
        <v>978</v>
      </c>
      <c r="AN302" s="238" t="s">
        <v>1101</v>
      </c>
      <c r="AO302" s="238"/>
      <c r="AP302" s="238" t="s">
        <v>1184</v>
      </c>
      <c r="AQ302" s="238"/>
      <c r="AS302" s="119">
        <v>1500</v>
      </c>
      <c r="AT302" s="121">
        <v>1550</v>
      </c>
      <c r="AU302" s="405">
        <v>2</v>
      </c>
      <c r="AV302" s="405"/>
      <c r="AW302" s="405">
        <f>VLOOKUP(Таблица7[[#This Row],[Основное оружие]], Оружие[#All], 2, 0)</f>
        <v>6</v>
      </c>
      <c r="AX302" s="405" t="str">
        <f>IF(ISBLANK(Таблица7[[#This Row],[Дополнительное оружие]]),"", VLOOKUP(Таблица7[[#This Row],[Дополнительное оружие]], Оружие[#All], 2, 0))</f>
        <v/>
      </c>
      <c r="AY30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30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30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02" s="405">
        <f>VLOOKUP(Таблица7[[#This Row],[Основное оружие]], Оружие[#All], 3, 0)</f>
        <v>3</v>
      </c>
      <c r="BC302" s="405" t="str">
        <f>IF(ISBLANK(Таблица7[[#This Row],[Дополнительное оружие]]),"", VLOOKUP(Таблица7[[#This Row],[Дополнительное оружие]], Оружие[#All], 3, 0))</f>
        <v/>
      </c>
      <c r="BD30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0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0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0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2" s="405">
        <f>Таблица7[[#This Row],[Броня]]+Таблица7[[#This Row],[Щит]]+Таблица7[[#This Row],[навык защиты]]</f>
        <v>15</v>
      </c>
      <c r="BK302" s="1006"/>
      <c r="BL302" s="1006"/>
      <c r="BM302" s="391"/>
      <c r="BN302" s="98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02" s="391">
        <v>1</v>
      </c>
      <c r="BP302" s="391">
        <v>0</v>
      </c>
      <c r="BQ302" s="391">
        <v>0</v>
      </c>
      <c r="BR302" s="391">
        <v>-1</v>
      </c>
      <c r="BS302" s="391">
        <v>0</v>
      </c>
      <c r="BT302" s="391">
        <v>5</v>
      </c>
      <c r="BU302" s="988" t="s">
        <v>1839</v>
      </c>
      <c r="BV302" s="988" t="s">
        <v>1843</v>
      </c>
      <c r="BW302" s="391"/>
      <c r="BX302" s="391"/>
      <c r="BY302" s="391"/>
      <c r="BZ302" s="122"/>
    </row>
    <row r="303" spans="1:78" s="119" customFormat="1" ht="40.5" customHeight="1" x14ac:dyDescent="0.25">
      <c r="A303" s="333">
        <v>302</v>
      </c>
      <c r="B303" s="484" t="s">
        <v>1592</v>
      </c>
      <c r="C303" s="484"/>
      <c r="D303" s="238" t="s">
        <v>1555</v>
      </c>
      <c r="E303" s="238" t="s">
        <v>1547</v>
      </c>
      <c r="F303" s="238"/>
      <c r="G303" s="238"/>
      <c r="H303" s="238"/>
      <c r="I303" s="659">
        <v>0.5</v>
      </c>
      <c r="J303" s="61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303" s="617">
        <f>Таблица7[[#This Row],[Размер отряда минимум]]*1.25</f>
        <v>12.5</v>
      </c>
      <c r="L303" s="617">
        <f>Таблица7[[#This Row],[Размер отряда норма]]*1.5</f>
        <v>18.75</v>
      </c>
      <c r="M303" s="618">
        <f>Таблица7[[#This Row],[Размер отряда минимум]]*2.5</f>
        <v>25</v>
      </c>
      <c r="N303" s="618"/>
      <c r="O303" s="618"/>
      <c r="P303" s="618"/>
      <c r="Q303" s="618"/>
      <c r="R303" s="120" t="s">
        <v>19</v>
      </c>
      <c r="S303" s="965" t="s">
        <v>2891</v>
      </c>
      <c r="T303" s="238" t="s">
        <v>975</v>
      </c>
      <c r="U303" s="240" t="s">
        <v>1007</v>
      </c>
      <c r="V303" s="239"/>
      <c r="W303" s="238" t="s">
        <v>1001</v>
      </c>
      <c r="X303" s="238" t="s">
        <v>1528</v>
      </c>
      <c r="Y303" s="238"/>
      <c r="Z303" s="238" t="s">
        <v>1036</v>
      </c>
      <c r="AA303" s="238"/>
      <c r="AB303" s="238"/>
      <c r="AC303" s="238"/>
      <c r="AD303" s="240" t="s">
        <v>1004</v>
      </c>
      <c r="AE303" s="240"/>
      <c r="AF303" s="238" t="s">
        <v>985</v>
      </c>
      <c r="AG303" s="238"/>
      <c r="AH303" s="238" t="s">
        <v>985</v>
      </c>
      <c r="AI303" s="238"/>
      <c r="AJ303" s="238" t="s">
        <v>985</v>
      </c>
      <c r="AK303" s="238"/>
      <c r="AL303" s="241" t="s">
        <v>1163</v>
      </c>
      <c r="AM303" s="238" t="s">
        <v>935</v>
      </c>
      <c r="AN303" s="238" t="s">
        <v>952</v>
      </c>
      <c r="AO303" s="238"/>
      <c r="AP303" s="238" t="s">
        <v>1184</v>
      </c>
      <c r="AQ303" s="238"/>
      <c r="AR303" s="238"/>
      <c r="AS303" s="238">
        <v>1500</v>
      </c>
      <c r="AT303" s="121">
        <v>1565</v>
      </c>
      <c r="AU303" s="405">
        <v>10</v>
      </c>
      <c r="AV303" s="405"/>
      <c r="AW303" s="405">
        <f>VLOOKUP(Таблица7[[#This Row],[Основное оружие]], Оружие[#All], 2, 0)</f>
        <v>2</v>
      </c>
      <c r="AX303" s="405">
        <f>IF(ISBLANK(Таблица7[[#This Row],[Дополнительное оружие]]),"", VLOOKUP(Таблица7[[#This Row],[Дополнительное оружие]], Оружие[#All], 2, 0))</f>
        <v>5</v>
      </c>
      <c r="AY30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0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0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303" s="405">
        <f>VLOOKUP(Таблица7[[#This Row],[Основное оружие]], Оружие[#All], 3, 0)</f>
        <v>6</v>
      </c>
      <c r="BC303" s="405">
        <f>IF(ISBLANK(Таблица7[[#This Row],[Дополнительное оружие]]),"", VLOOKUP(Таблица7[[#This Row],[Дополнительное оружие]], Оружие[#All], 3, 0))</f>
        <v>3</v>
      </c>
      <c r="BD30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30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0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0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3" s="405">
        <f>Таблица7[[#This Row],[Броня]]+Таблица7[[#This Row],[Щит]]+Таблица7[[#This Row],[навык защиты]]</f>
        <v>29</v>
      </c>
      <c r="BK303" s="1006"/>
      <c r="BL303" s="1006"/>
      <c r="BM303" s="391"/>
      <c r="BN303" s="98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03" s="391">
        <v>1</v>
      </c>
      <c r="BP303" s="391">
        <v>-2</v>
      </c>
      <c r="BQ303" s="391">
        <v>0</v>
      </c>
      <c r="BR303" s="391">
        <v>-4</v>
      </c>
      <c r="BS303" s="391">
        <v>-2</v>
      </c>
      <c r="BT303" s="391">
        <v>11</v>
      </c>
      <c r="BU303" s="988" t="s">
        <v>1840</v>
      </c>
      <c r="BV303" s="988" t="s">
        <v>1844</v>
      </c>
      <c r="BW303" s="391"/>
      <c r="BX303" s="391"/>
      <c r="BY303" s="391"/>
      <c r="BZ303" s="122"/>
    </row>
    <row r="304" spans="1:78" s="119" customFormat="1" ht="40.5" customHeight="1" x14ac:dyDescent="0.25">
      <c r="A304" s="333">
        <v>303</v>
      </c>
      <c r="B304" s="303" t="s">
        <v>1375</v>
      </c>
      <c r="C304" s="303"/>
      <c r="D304" s="238" t="s">
        <v>1555</v>
      </c>
      <c r="E304" s="238" t="s">
        <v>1547</v>
      </c>
      <c r="F304" s="238"/>
      <c r="G304" s="238"/>
      <c r="H304" s="238"/>
      <c r="I304" s="659">
        <v>0.5</v>
      </c>
      <c r="J304" s="61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304" s="617">
        <f>Таблица7[[#This Row],[Размер отряда минимум]]*1.25</f>
        <v>15</v>
      </c>
      <c r="L304" s="617">
        <f>Таблица7[[#This Row],[Размер отряда норма]]*1.5</f>
        <v>22.5</v>
      </c>
      <c r="M304" s="618">
        <f>Таблица7[[#This Row],[Размер отряда минимум]]*2.5</f>
        <v>30</v>
      </c>
      <c r="N304" s="618"/>
      <c r="O304" s="618"/>
      <c r="P304" s="618"/>
      <c r="Q304" s="618"/>
      <c r="R304" s="120" t="s">
        <v>19</v>
      </c>
      <c r="S304" s="965" t="s">
        <v>2891</v>
      </c>
      <c r="T304" s="238" t="s">
        <v>976</v>
      </c>
      <c r="U304" s="240" t="s">
        <v>1007</v>
      </c>
      <c r="V304" s="239"/>
      <c r="W304" s="240" t="s">
        <v>1001</v>
      </c>
      <c r="X304" s="778" t="s">
        <v>1950</v>
      </c>
      <c r="Y304" s="238"/>
      <c r="Z304" s="238" t="s">
        <v>1440</v>
      </c>
      <c r="AA304" s="238"/>
      <c r="AB304" s="238"/>
      <c r="AC304" s="238"/>
      <c r="AD304" s="240" t="s">
        <v>1005</v>
      </c>
      <c r="AE304" s="240"/>
      <c r="AF304" s="238" t="s">
        <v>985</v>
      </c>
      <c r="AG304" s="238"/>
      <c r="AH304" s="238" t="s">
        <v>985</v>
      </c>
      <c r="AI304" s="238"/>
      <c r="AJ304" s="238" t="s">
        <v>985</v>
      </c>
      <c r="AK304" s="238"/>
      <c r="AL304" s="241" t="s">
        <v>985</v>
      </c>
      <c r="AM304" s="238" t="s">
        <v>935</v>
      </c>
      <c r="AN304" s="238" t="s">
        <v>952</v>
      </c>
      <c r="AO304" s="238"/>
      <c r="AP304" s="238" t="s">
        <v>1184</v>
      </c>
      <c r="AQ304" s="238"/>
      <c r="AR304" s="238"/>
      <c r="AS304" s="238">
        <v>1565</v>
      </c>
      <c r="AT304" s="121"/>
      <c r="AU304" s="405">
        <v>10</v>
      </c>
      <c r="AV304" s="405" t="s">
        <v>1828</v>
      </c>
      <c r="AW304" s="405">
        <f>VLOOKUP(Таблица7[[#This Row],[Основное оружие]], Оружие[#All], 2, 0)</f>
        <v>0</v>
      </c>
      <c r="AX304" s="405">
        <f>IF(ISBLANK(Таблица7[[#This Row],[Дополнительное оружие]]),"", VLOOKUP(Таблица7[[#This Row],[Дополнительное оружие]], Оружие[#All], 2, 0))</f>
        <v>4</v>
      </c>
      <c r="AY30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0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0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04" s="405">
        <f>VLOOKUP(Таблица7[[#This Row],[Основное оружие]], Оружие[#All], 3, 0)</f>
        <v>1</v>
      </c>
      <c r="BC304" s="405">
        <f>IF(ISBLANK(Таблица7[[#This Row],[Дополнительное оружие]]),"", VLOOKUP(Таблица7[[#This Row],[Дополнительное оружие]], Оружие[#All], 3, 0))</f>
        <v>3</v>
      </c>
      <c r="BD30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30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0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0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4" s="405">
        <f>Таблица7[[#This Row],[Броня]]+Таблица7[[#This Row],[Щит]]+Таблица7[[#This Row],[навык защиты]]</f>
        <v>28</v>
      </c>
      <c r="BK304" s="1006"/>
      <c r="BL304" s="1006"/>
      <c r="BM304" s="391"/>
      <c r="BN304" s="98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04" s="391">
        <v>1</v>
      </c>
      <c r="BP304" s="391">
        <v>-2</v>
      </c>
      <c r="BQ304" s="391">
        <v>0</v>
      </c>
      <c r="BR304" s="391">
        <v>-4</v>
      </c>
      <c r="BS304" s="391">
        <v>-2</v>
      </c>
      <c r="BT304" s="391">
        <v>11</v>
      </c>
      <c r="BU304" s="988" t="s">
        <v>1840</v>
      </c>
      <c r="BV304" s="988" t="s">
        <v>1844</v>
      </c>
      <c r="BW304" s="391"/>
      <c r="BX304" s="391"/>
      <c r="BY304" s="391"/>
      <c r="BZ304" s="122"/>
    </row>
    <row r="305" spans="1:123" s="62" customFormat="1" ht="40.5" customHeight="1" x14ac:dyDescent="0.25">
      <c r="A305" s="333">
        <v>304</v>
      </c>
      <c r="B305" s="864" t="s">
        <v>2364</v>
      </c>
      <c r="C305" s="864" t="s">
        <v>2365</v>
      </c>
      <c r="D305" s="65" t="s">
        <v>1556</v>
      </c>
      <c r="E305" s="65" t="s">
        <v>1546</v>
      </c>
      <c r="F305" s="65"/>
      <c r="G305" s="65"/>
      <c r="H305" s="65"/>
      <c r="I305" s="647">
        <v>1</v>
      </c>
      <c r="J305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305" s="593">
        <f>Таблица7[[#This Row],[Размер отряда минимум]]*1.25</f>
        <v>125</v>
      </c>
      <c r="L305" s="593">
        <f>Таблица7[[#This Row],[Размер отряда норма]]*1.5</f>
        <v>187.5</v>
      </c>
      <c r="M305" s="594">
        <f>Таблица7[[#This Row],[Размер отряда минимум]]*2.5</f>
        <v>250</v>
      </c>
      <c r="N305" s="594"/>
      <c r="O305" s="594"/>
      <c r="P305" s="594"/>
      <c r="Q305" s="594"/>
      <c r="R305" s="567" t="s">
        <v>2702</v>
      </c>
      <c r="S305" s="567" t="s">
        <v>2701</v>
      </c>
      <c r="T305" s="65" t="s">
        <v>1032</v>
      </c>
      <c r="U305" s="865" t="s">
        <v>2370</v>
      </c>
      <c r="V305" s="902" t="s">
        <v>2699</v>
      </c>
      <c r="W305" s="65" t="s">
        <v>984</v>
      </c>
      <c r="X305" s="346" t="s">
        <v>1435</v>
      </c>
      <c r="Y305" s="864" t="s">
        <v>1930</v>
      </c>
      <c r="Z305" s="65"/>
      <c r="AA305" s="65"/>
      <c r="AB305" s="65"/>
      <c r="AC305" s="65"/>
      <c r="AD305" s="187" t="s">
        <v>985</v>
      </c>
      <c r="AE305" s="187"/>
      <c r="AF305" s="65" t="s">
        <v>985</v>
      </c>
      <c r="AG305" s="65"/>
      <c r="AH305" s="65" t="s">
        <v>985</v>
      </c>
      <c r="AI305" s="65"/>
      <c r="AJ305" s="187" t="s">
        <v>985</v>
      </c>
      <c r="AK305" s="187"/>
      <c r="AL305" s="214" t="s">
        <v>985</v>
      </c>
      <c r="AM305" s="65" t="s">
        <v>935</v>
      </c>
      <c r="AN305" s="864" t="s">
        <v>1906</v>
      </c>
      <c r="AO305" s="864" t="s">
        <v>1905</v>
      </c>
      <c r="AP305" s="864" t="s">
        <v>1871</v>
      </c>
      <c r="AQ305" s="864" t="s">
        <v>1871</v>
      </c>
      <c r="AS305" s="62">
        <v>1500</v>
      </c>
      <c r="AT305" s="63"/>
      <c r="AU305" s="405">
        <v>1</v>
      </c>
      <c r="AV305" s="405"/>
      <c r="AW305" s="405">
        <f>VLOOKUP(Таблица7[[#This Row],[Основное оружие]], Оружие[#All], 2, 0)</f>
        <v>1</v>
      </c>
      <c r="AX305" s="405" t="str">
        <f>IF(ISBLANK(Таблица7[[#This Row],[Дополнительное оружие]]),"", VLOOKUP(Таблица7[[#This Row],[Дополнительное оружие]], Оружие[#All], 2, 0))</f>
        <v/>
      </c>
      <c r="AY30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0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30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05" s="405">
        <f>VLOOKUP(Таблица7[[#This Row],[Основное оружие]], Оружие[#All], 3, 0)</f>
        <v>1</v>
      </c>
      <c r="BC305" s="405" t="str">
        <f>IF(ISBLANK(Таблица7[[#This Row],[Дополнительное оружие]]),"", VLOOKUP(Таблица7[[#This Row],[Дополнительное оружие]], Оружие[#All], 3, 0))</f>
        <v/>
      </c>
      <c r="BD30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0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0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0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5" s="405">
        <f>Таблица7[[#This Row],[Броня]]+Таблица7[[#This Row],[Щит]]+Таблица7[[#This Row],[навык защиты]]</f>
        <v>3</v>
      </c>
      <c r="BK305" s="1006"/>
      <c r="BL305" s="1006"/>
      <c r="BM305" s="379"/>
      <c r="BN305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05" s="379">
        <v>0</v>
      </c>
      <c r="BP305" s="379">
        <v>1</v>
      </c>
      <c r="BQ305" s="379">
        <v>2</v>
      </c>
      <c r="BR305" s="379">
        <v>2</v>
      </c>
      <c r="BS305" s="379">
        <v>-2</v>
      </c>
      <c r="BT305" s="379">
        <v>2</v>
      </c>
      <c r="BU305" s="975" t="s">
        <v>1839</v>
      </c>
      <c r="BV305" s="975" t="s">
        <v>1842</v>
      </c>
      <c r="BW305" s="379"/>
      <c r="BX305" s="379"/>
      <c r="BY305" s="379"/>
      <c r="BZ305" s="64"/>
    </row>
    <row r="306" spans="1:123" s="62" customFormat="1" ht="40.5" customHeight="1" x14ac:dyDescent="0.25">
      <c r="A306" s="333">
        <v>305</v>
      </c>
      <c r="B306" s="864" t="s">
        <v>2371</v>
      </c>
      <c r="C306" s="864" t="s">
        <v>2372</v>
      </c>
      <c r="D306" s="65" t="s">
        <v>1556</v>
      </c>
      <c r="E306" s="65" t="s">
        <v>1570</v>
      </c>
      <c r="F306" s="65"/>
      <c r="G306" s="65"/>
      <c r="H306" s="65"/>
      <c r="I306" s="647">
        <v>0.75</v>
      </c>
      <c r="J306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06" s="593">
        <f>Таблица7[[#This Row],[Размер отряда минимум]]*1.25</f>
        <v>93.75</v>
      </c>
      <c r="L306" s="593">
        <f>Таблица7[[#This Row],[Размер отряда норма]]*1.5</f>
        <v>140.625</v>
      </c>
      <c r="M306" s="594">
        <f>Таблица7[[#This Row],[Размер отряда минимум]]*2.5</f>
        <v>187.5</v>
      </c>
      <c r="N306" s="594"/>
      <c r="O306" s="594"/>
      <c r="P306" s="594"/>
      <c r="Q306" s="594"/>
      <c r="R306" s="65" t="s">
        <v>20</v>
      </c>
      <c r="S306" s="864" t="s">
        <v>2362</v>
      </c>
      <c r="T306" s="65" t="s">
        <v>1032</v>
      </c>
      <c r="U306" s="865" t="s">
        <v>2373</v>
      </c>
      <c r="V306" s="866" t="s">
        <v>2374</v>
      </c>
      <c r="W306" s="65" t="s">
        <v>1001</v>
      </c>
      <c r="X306" s="321" t="s">
        <v>1467</v>
      </c>
      <c r="Y306" s="864" t="s">
        <v>1937</v>
      </c>
      <c r="Z306" s="321" t="s">
        <v>1441</v>
      </c>
      <c r="AA306" s="864" t="s">
        <v>1934</v>
      </c>
      <c r="AB306" s="321"/>
      <c r="AC306" s="321"/>
      <c r="AD306" s="187" t="s">
        <v>985</v>
      </c>
      <c r="AE306" s="187"/>
      <c r="AF306" s="65" t="s">
        <v>985</v>
      </c>
      <c r="AG306" s="65"/>
      <c r="AH306" s="65" t="s">
        <v>985</v>
      </c>
      <c r="AI306" s="65"/>
      <c r="AJ306" s="187" t="s">
        <v>985</v>
      </c>
      <c r="AK306" s="187"/>
      <c r="AL306" s="214" t="s">
        <v>985</v>
      </c>
      <c r="AM306" s="65" t="s">
        <v>978</v>
      </c>
      <c r="AN306" s="864" t="s">
        <v>992</v>
      </c>
      <c r="AO306" s="864" t="s">
        <v>1904</v>
      </c>
      <c r="AP306" s="65" t="s">
        <v>1115</v>
      </c>
      <c r="AQ306" s="65" t="s">
        <v>2362</v>
      </c>
      <c r="AS306" s="62">
        <v>1500</v>
      </c>
      <c r="AT306" s="63"/>
      <c r="AU306" s="405">
        <v>2</v>
      </c>
      <c r="AV306" s="405" t="s">
        <v>1827</v>
      </c>
      <c r="AW306" s="405">
        <f>VLOOKUP(Таблица7[[#This Row],[Основное оружие]], Оружие[#All], 2, 0)</f>
        <v>0</v>
      </c>
      <c r="AX306" s="405">
        <f>IF(ISBLANK(Таблица7[[#This Row],[Дополнительное оружие]]),"", VLOOKUP(Таблица7[[#This Row],[Дополнительное оружие]], Оружие[#All], 2, 0))</f>
        <v>4</v>
      </c>
      <c r="AY30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0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0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306" s="405">
        <f>VLOOKUP(Таблица7[[#This Row],[Основное оружие]], Оружие[#All], 3, 0)</f>
        <v>1</v>
      </c>
      <c r="BC306" s="405">
        <f>IF(ISBLANK(Таблица7[[#This Row],[Дополнительное оружие]]),"", VLOOKUP(Таблица7[[#This Row],[Дополнительное оружие]], Оружие[#All], 3, 0))</f>
        <v>3</v>
      </c>
      <c r="BD30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0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0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0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6" s="405">
        <f>Таблица7[[#This Row],[Броня]]+Таблица7[[#This Row],[Щит]]+Таблица7[[#This Row],[навык защиты]]</f>
        <v>4</v>
      </c>
      <c r="BK306" s="1006"/>
      <c r="BL306" s="1006"/>
      <c r="BM306" s="379"/>
      <c r="BN306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06" s="379">
        <v>0</v>
      </c>
      <c r="BP306" s="379">
        <v>1</v>
      </c>
      <c r="BQ306" s="379">
        <v>2</v>
      </c>
      <c r="BR306" s="379">
        <v>2</v>
      </c>
      <c r="BS306" s="379">
        <v>-2</v>
      </c>
      <c r="BT306" s="379">
        <v>5</v>
      </c>
      <c r="BU306" s="975" t="s">
        <v>1839</v>
      </c>
      <c r="BV306" s="975" t="s">
        <v>1842</v>
      </c>
      <c r="BW306" s="379"/>
      <c r="BX306" s="379"/>
      <c r="BY306" s="379"/>
      <c r="BZ306" s="64"/>
    </row>
    <row r="307" spans="1:123" s="62" customFormat="1" ht="40.5" customHeight="1" x14ac:dyDescent="0.25">
      <c r="A307" s="333">
        <v>306</v>
      </c>
      <c r="B307" s="864" t="s">
        <v>2375</v>
      </c>
      <c r="C307" s="864" t="s">
        <v>2399</v>
      </c>
      <c r="D307" s="65" t="s">
        <v>1556</v>
      </c>
      <c r="E307" s="65" t="s">
        <v>1570</v>
      </c>
      <c r="F307" s="65"/>
      <c r="G307" s="65"/>
      <c r="H307" s="65"/>
      <c r="I307" s="647">
        <v>0.75</v>
      </c>
      <c r="J307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07" s="593">
        <f>Таблица7[[#This Row],[Размер отряда минимум]]*1.25</f>
        <v>93.75</v>
      </c>
      <c r="L307" s="593">
        <f>Таблица7[[#This Row],[Размер отряда норма]]*1.5</f>
        <v>140.625</v>
      </c>
      <c r="M307" s="594">
        <f>Таблица7[[#This Row],[Размер отряда минимум]]*2.5</f>
        <v>187.5</v>
      </c>
      <c r="N307" s="594"/>
      <c r="O307" s="594"/>
      <c r="P307" s="594"/>
      <c r="Q307" s="594"/>
      <c r="R307" s="65" t="s">
        <v>20</v>
      </c>
      <c r="S307" s="864" t="s">
        <v>2362</v>
      </c>
      <c r="T307" s="65" t="s">
        <v>1032</v>
      </c>
      <c r="U307" s="865" t="s">
        <v>2400</v>
      </c>
      <c r="V307" s="866" t="s">
        <v>2401</v>
      </c>
      <c r="W307" s="65" t="s">
        <v>984</v>
      </c>
      <c r="X307" s="233" t="s">
        <v>1474</v>
      </c>
      <c r="Y307" s="864" t="s">
        <v>2376</v>
      </c>
      <c r="Z307" s="233" t="s">
        <v>1020</v>
      </c>
      <c r="AA307" s="864" t="s">
        <v>1916</v>
      </c>
      <c r="AB307" s="233"/>
      <c r="AC307" s="233"/>
      <c r="AD307" s="187" t="s">
        <v>985</v>
      </c>
      <c r="AE307" s="187"/>
      <c r="AF307" s="65" t="s">
        <v>985</v>
      </c>
      <c r="AG307" s="65"/>
      <c r="AH307" s="65" t="s">
        <v>985</v>
      </c>
      <c r="AI307" s="65"/>
      <c r="AJ307" s="187" t="s">
        <v>985</v>
      </c>
      <c r="AK307" s="187"/>
      <c r="AL307" s="214" t="s">
        <v>985</v>
      </c>
      <c r="AM307" s="65" t="s">
        <v>978</v>
      </c>
      <c r="AN307" s="864" t="s">
        <v>992</v>
      </c>
      <c r="AO307" s="864" t="s">
        <v>1904</v>
      </c>
      <c r="AP307" s="65" t="s">
        <v>1115</v>
      </c>
      <c r="AQ307" s="65" t="s">
        <v>2362</v>
      </c>
      <c r="AS307" s="62">
        <v>1500</v>
      </c>
      <c r="AT307" s="63"/>
      <c r="AU307" s="405">
        <v>3</v>
      </c>
      <c r="AV307" s="405" t="s">
        <v>1827</v>
      </c>
      <c r="AW307" s="405">
        <f>VLOOKUP(Таблица7[[#This Row],[Основное оружие]], Оружие[#All], 2, 0)</f>
        <v>0</v>
      </c>
      <c r="AX307" s="405">
        <f>IF(ISBLANK(Таблица7[[#This Row],[Дополнительное оружие]]),"", VLOOKUP(Таблица7[[#This Row],[Дополнительное оружие]], Оружие[#All], 2, 0))</f>
        <v>2</v>
      </c>
      <c r="AY30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0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0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307" s="405">
        <f>VLOOKUP(Таблица7[[#This Row],[Основное оружие]], Оружие[#All], 3, 0)</f>
        <v>1</v>
      </c>
      <c r="BC307" s="405">
        <f>IF(ISBLANK(Таблица7[[#This Row],[Дополнительное оружие]]),"", VLOOKUP(Таблица7[[#This Row],[Дополнительное оружие]], Оружие[#All], 3, 0))</f>
        <v>3</v>
      </c>
      <c r="BD30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0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0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0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7" s="405">
        <f>Таблица7[[#This Row],[Броня]]+Таблица7[[#This Row],[Щит]]+Таблица7[[#This Row],[навык защиты]]</f>
        <v>5</v>
      </c>
      <c r="BK307" s="1006"/>
      <c r="BL307" s="1006"/>
      <c r="BM307" s="379"/>
      <c r="BN307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07" s="379">
        <v>0</v>
      </c>
      <c r="BP307" s="379">
        <v>1</v>
      </c>
      <c r="BQ307" s="379">
        <v>2</v>
      </c>
      <c r="BR307" s="379">
        <v>2</v>
      </c>
      <c r="BS307" s="379">
        <v>-2</v>
      </c>
      <c r="BT307" s="379">
        <v>5</v>
      </c>
      <c r="BU307" s="975" t="s">
        <v>1839</v>
      </c>
      <c r="BV307" s="975" t="s">
        <v>1842</v>
      </c>
      <c r="BW307" s="379"/>
      <c r="BX307" s="379"/>
      <c r="BY307" s="379"/>
      <c r="BZ307" s="64"/>
    </row>
    <row r="308" spans="1:123" s="62" customFormat="1" ht="40.5" customHeight="1" x14ac:dyDescent="0.25">
      <c r="A308" s="333">
        <v>307</v>
      </c>
      <c r="B308" s="864" t="s">
        <v>2377</v>
      </c>
      <c r="C308" s="864" t="s">
        <v>2378</v>
      </c>
      <c r="D308" s="65" t="s">
        <v>1556</v>
      </c>
      <c r="E308" s="65" t="s">
        <v>1570</v>
      </c>
      <c r="F308" s="65"/>
      <c r="G308" s="65"/>
      <c r="H308" s="65"/>
      <c r="I308" s="647">
        <v>0.75</v>
      </c>
      <c r="J308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08" s="593">
        <f>Таблица7[[#This Row],[Размер отряда минимум]]*1.25</f>
        <v>93.75</v>
      </c>
      <c r="L308" s="593">
        <f>Таблица7[[#This Row],[Размер отряда норма]]*1.5</f>
        <v>140.625</v>
      </c>
      <c r="M308" s="594">
        <f>Таблица7[[#This Row],[Размер отряда минимум]]*2.5</f>
        <v>187.5</v>
      </c>
      <c r="N308" s="594"/>
      <c r="O308" s="594"/>
      <c r="P308" s="594"/>
      <c r="Q308" s="594"/>
      <c r="R308" s="65" t="s">
        <v>20</v>
      </c>
      <c r="S308" s="864" t="s">
        <v>2362</v>
      </c>
      <c r="T308" s="65" t="s">
        <v>1032</v>
      </c>
      <c r="U308" s="865" t="s">
        <v>2387</v>
      </c>
      <c r="V308" s="866" t="s">
        <v>2379</v>
      </c>
      <c r="W308" s="65" t="s">
        <v>1001</v>
      </c>
      <c r="X308" s="321" t="s">
        <v>1469</v>
      </c>
      <c r="Y308" s="321" t="s">
        <v>2056</v>
      </c>
      <c r="Z308" s="321" t="s">
        <v>1441</v>
      </c>
      <c r="AA308" s="864" t="s">
        <v>1934</v>
      </c>
      <c r="AB308" s="321"/>
      <c r="AC308" s="321"/>
      <c r="AD308" s="865" t="s">
        <v>1027</v>
      </c>
      <c r="AE308" s="865" t="s">
        <v>1979</v>
      </c>
      <c r="AF308" s="65" t="s">
        <v>1202</v>
      </c>
      <c r="AG308" s="65" t="s">
        <v>1980</v>
      </c>
      <c r="AH308" s="65" t="s">
        <v>985</v>
      </c>
      <c r="AI308" s="65"/>
      <c r="AJ308" s="187" t="s">
        <v>985</v>
      </c>
      <c r="AK308" s="187"/>
      <c r="AL308" s="214" t="s">
        <v>985</v>
      </c>
      <c r="AM308" s="65" t="s">
        <v>978</v>
      </c>
      <c r="AN308" s="864" t="s">
        <v>992</v>
      </c>
      <c r="AO308" s="65" t="s">
        <v>1904</v>
      </c>
      <c r="AP308" s="65" t="s">
        <v>1115</v>
      </c>
      <c r="AQ308" s="65" t="s">
        <v>2362</v>
      </c>
      <c r="AS308" s="62">
        <v>1500</v>
      </c>
      <c r="AT308" s="63"/>
      <c r="AU308" s="405">
        <v>3</v>
      </c>
      <c r="AV308" s="405" t="s">
        <v>1827</v>
      </c>
      <c r="AW308" s="405">
        <f>VLOOKUP(Таблица7[[#This Row],[Основное оружие]], Оружие[#All], 2, 0)</f>
        <v>0</v>
      </c>
      <c r="AX308" s="405">
        <f>IF(ISBLANK(Таблица7[[#This Row],[Дополнительное оружие]]),"", VLOOKUP(Таблица7[[#This Row],[Дополнительное оружие]], Оружие[#All], 2, 0))</f>
        <v>4</v>
      </c>
      <c r="AY30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0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0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08" s="405">
        <f>VLOOKUP(Таблица7[[#This Row],[Основное оружие]], Оружие[#All], 3, 0)</f>
        <v>1</v>
      </c>
      <c r="BC308" s="405">
        <f>IF(ISBLANK(Таблица7[[#This Row],[Дополнительное оружие]]),"", VLOOKUP(Таблица7[[#This Row],[Дополнительное оружие]], Оружие[#All], 3, 0))</f>
        <v>3</v>
      </c>
      <c r="BD30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30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10</v>
      </c>
      <c r="BF30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0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0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8" s="405">
        <f>Таблица7[[#This Row],[Броня]]+Таблица7[[#This Row],[Щит]]+Таблица7[[#This Row],[навык защиты]]</f>
        <v>12</v>
      </c>
      <c r="BK308" s="1006"/>
      <c r="BL308" s="1006"/>
      <c r="BM308" s="379"/>
      <c r="BN308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08" s="379">
        <v>0</v>
      </c>
      <c r="BP308" s="379">
        <v>1</v>
      </c>
      <c r="BQ308" s="379">
        <v>2</v>
      </c>
      <c r="BR308" s="379">
        <v>2</v>
      </c>
      <c r="BS308" s="379">
        <v>-2</v>
      </c>
      <c r="BT308" s="379">
        <v>6</v>
      </c>
      <c r="BU308" s="975" t="s">
        <v>1839</v>
      </c>
      <c r="BV308" s="975" t="s">
        <v>1843</v>
      </c>
      <c r="BW308" s="379"/>
      <c r="BX308" s="379"/>
      <c r="BY308" s="379"/>
      <c r="BZ308" s="64"/>
    </row>
    <row r="309" spans="1:123" s="62" customFormat="1" ht="40.5" customHeight="1" x14ac:dyDescent="0.25">
      <c r="A309" s="333">
        <v>308</v>
      </c>
      <c r="B309" s="864" t="s">
        <v>2385</v>
      </c>
      <c r="C309" s="864" t="s">
        <v>2386</v>
      </c>
      <c r="D309" s="65" t="s">
        <v>1556</v>
      </c>
      <c r="E309" s="65" t="s">
        <v>1558</v>
      </c>
      <c r="F309" s="65"/>
      <c r="G309" s="65"/>
      <c r="H309" s="65"/>
      <c r="I309" s="647">
        <v>0.5</v>
      </c>
      <c r="J309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45</v>
      </c>
      <c r="K309" s="593">
        <f>Таблица7[[#This Row],[Размер отряда минимум]]*1.25</f>
        <v>56.25</v>
      </c>
      <c r="L309" s="593">
        <f>Таблица7[[#This Row],[Размер отряда норма]]*1.5</f>
        <v>84.375</v>
      </c>
      <c r="M309" s="594">
        <f>Таблица7[[#This Row],[Размер отряда минимум]]*2.5</f>
        <v>112.5</v>
      </c>
      <c r="N309" s="594"/>
      <c r="O309" s="594"/>
      <c r="P309" s="594"/>
      <c r="Q309" s="594"/>
      <c r="R309" s="65" t="s">
        <v>20</v>
      </c>
      <c r="S309" s="864" t="s">
        <v>2362</v>
      </c>
      <c r="T309" s="65" t="s">
        <v>975</v>
      </c>
      <c r="U309" s="865" t="s">
        <v>2388</v>
      </c>
      <c r="V309" s="866" t="s">
        <v>2389</v>
      </c>
      <c r="W309" s="65" t="s">
        <v>1001</v>
      </c>
      <c r="X309" s="65" t="s">
        <v>1691</v>
      </c>
      <c r="Y309" s="65" t="s">
        <v>2094</v>
      </c>
      <c r="Z309" s="65" t="s">
        <v>1441</v>
      </c>
      <c r="AA309" s="864" t="s">
        <v>1934</v>
      </c>
      <c r="AB309" s="65"/>
      <c r="AC309" s="65"/>
      <c r="AD309" s="187" t="s">
        <v>985</v>
      </c>
      <c r="AE309" s="187"/>
      <c r="AF309" s="164" t="s">
        <v>1027</v>
      </c>
      <c r="AG309" s="864" t="s">
        <v>1979</v>
      </c>
      <c r="AH309" s="65" t="s">
        <v>1202</v>
      </c>
      <c r="AI309" s="65" t="s">
        <v>1980</v>
      </c>
      <c r="AJ309" s="187" t="s">
        <v>985</v>
      </c>
      <c r="AK309" s="187"/>
      <c r="AL309" s="214" t="s">
        <v>985</v>
      </c>
      <c r="AM309" s="65" t="s">
        <v>977</v>
      </c>
      <c r="AN309" s="864" t="s">
        <v>1908</v>
      </c>
      <c r="AO309" s="864" t="s">
        <v>1909</v>
      </c>
      <c r="AP309" s="65" t="s">
        <v>1115</v>
      </c>
      <c r="AQ309" s="65" t="s">
        <v>2362</v>
      </c>
      <c r="AS309" s="62">
        <v>1500</v>
      </c>
      <c r="AT309" s="63">
        <v>1546</v>
      </c>
      <c r="AU309" s="405">
        <v>8</v>
      </c>
      <c r="AV309" s="405" t="s">
        <v>1827</v>
      </c>
      <c r="AW309" s="405">
        <f>VLOOKUP(Таблица7[[#This Row],[Основное оружие]], Оружие[#All], 2, 0)</f>
        <v>0</v>
      </c>
      <c r="AX309" s="405">
        <f>IF(ISBLANK(Таблица7[[#This Row],[Дополнительное оружие]]),"", VLOOKUP(Таблица7[[#This Row],[Дополнительное оружие]], Оружие[#All], 2, 0))</f>
        <v>4</v>
      </c>
      <c r="AY30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0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0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09" s="405">
        <f>VLOOKUP(Таблица7[[#This Row],[Основное оружие]], Оружие[#All], 3, 0)</f>
        <v>1</v>
      </c>
      <c r="BC309" s="405">
        <f>IF(ISBLANK(Таблица7[[#This Row],[Дополнительное оружие]]),"", VLOOKUP(Таблица7[[#This Row],[Дополнительное оружие]], Оружие[#All], 3, 0))</f>
        <v>3</v>
      </c>
      <c r="BD30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0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309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30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0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30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09" s="405">
        <f>Таблица7[[#This Row],[Броня]]+Таблица7[[#This Row],[Щит]]+Таблица7[[#This Row],[навык защиты]]</f>
        <v>10</v>
      </c>
      <c r="BK309" s="1006"/>
      <c r="BL309" s="1006"/>
      <c r="BM309" s="379"/>
      <c r="BN309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09" s="379">
        <v>0</v>
      </c>
      <c r="BP309" s="379">
        <v>1</v>
      </c>
      <c r="BQ309" s="379">
        <v>2</v>
      </c>
      <c r="BR309" s="379">
        <v>2</v>
      </c>
      <c r="BS309" s="379">
        <v>-2</v>
      </c>
      <c r="BT309" s="379">
        <v>11</v>
      </c>
      <c r="BU309" s="975" t="s">
        <v>1839</v>
      </c>
      <c r="BV309" s="975" t="s">
        <v>1843</v>
      </c>
      <c r="BW309" s="379"/>
      <c r="BX309" s="379"/>
      <c r="BY309" s="379"/>
      <c r="BZ309" s="64"/>
    </row>
    <row r="310" spans="1:123" s="62" customFormat="1" ht="40.5" customHeight="1" x14ac:dyDescent="0.25">
      <c r="A310" s="333">
        <v>309</v>
      </c>
      <c r="B310" s="864" t="s">
        <v>2390</v>
      </c>
      <c r="C310" s="864" t="s">
        <v>2391</v>
      </c>
      <c r="D310" s="65" t="s">
        <v>1556</v>
      </c>
      <c r="E310" s="65" t="s">
        <v>1558</v>
      </c>
      <c r="F310" s="65"/>
      <c r="G310" s="65"/>
      <c r="H310" s="65"/>
      <c r="I310" s="647">
        <v>0.5</v>
      </c>
      <c r="J310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310" s="593">
        <f>Таблица7[[#This Row],[Размер отряда минимум]]*1.25</f>
        <v>62.5</v>
      </c>
      <c r="L310" s="593">
        <f>Таблица7[[#This Row],[Размер отряда норма]]*1.5</f>
        <v>93.75</v>
      </c>
      <c r="M310" s="594">
        <f>Таблица7[[#This Row],[Размер отряда минимум]]*2.5</f>
        <v>125</v>
      </c>
      <c r="N310" s="594"/>
      <c r="O310" s="594"/>
      <c r="P310" s="594"/>
      <c r="Q310" s="594"/>
      <c r="R310" s="65" t="s">
        <v>20</v>
      </c>
      <c r="S310" s="864" t="s">
        <v>2362</v>
      </c>
      <c r="T310" s="65" t="s">
        <v>976</v>
      </c>
      <c r="U310" s="865" t="s">
        <v>2392</v>
      </c>
      <c r="V310" s="866" t="s">
        <v>2393</v>
      </c>
      <c r="W310" s="65" t="s">
        <v>1001</v>
      </c>
      <c r="X310" s="65" t="s">
        <v>1686</v>
      </c>
      <c r="Y310" s="65" t="s">
        <v>2095</v>
      </c>
      <c r="Z310" s="65" t="s">
        <v>1441</v>
      </c>
      <c r="AA310" s="864" t="s">
        <v>1934</v>
      </c>
      <c r="AB310" s="65"/>
      <c r="AC310" s="65"/>
      <c r="AD310" s="187" t="s">
        <v>985</v>
      </c>
      <c r="AE310" s="187"/>
      <c r="AF310" s="164" t="s">
        <v>1027</v>
      </c>
      <c r="AG310" s="864" t="s">
        <v>1979</v>
      </c>
      <c r="AH310" s="65" t="s">
        <v>1202</v>
      </c>
      <c r="AI310" s="65" t="s">
        <v>1980</v>
      </c>
      <c r="AJ310" s="187" t="s">
        <v>985</v>
      </c>
      <c r="AK310" s="187"/>
      <c r="AL310" s="214" t="s">
        <v>985</v>
      </c>
      <c r="AM310" s="65" t="s">
        <v>977</v>
      </c>
      <c r="AN310" s="864" t="s">
        <v>1908</v>
      </c>
      <c r="AO310" s="864" t="s">
        <v>1909</v>
      </c>
      <c r="AP310" s="65" t="s">
        <v>1115</v>
      </c>
      <c r="AQ310" s="65" t="s">
        <v>2362</v>
      </c>
      <c r="AS310" s="62">
        <v>1546</v>
      </c>
      <c r="AT310" s="63"/>
      <c r="AU310" s="405">
        <v>8</v>
      </c>
      <c r="AV310" s="405" t="s">
        <v>1827</v>
      </c>
      <c r="AW310" s="405">
        <f>VLOOKUP(Таблица7[[#This Row],[Основное оружие]], Оружие[#All], 2, 0)</f>
        <v>0</v>
      </c>
      <c r="AX310" s="405">
        <f>IF(ISBLANK(Таблица7[[#This Row],[Дополнительное оружие]]),"", VLOOKUP(Таблица7[[#This Row],[Дополнительное оружие]], Оружие[#All], 2, 0))</f>
        <v>4</v>
      </c>
      <c r="AY31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1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1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10" s="405">
        <f>VLOOKUP(Таблица7[[#This Row],[Основное оружие]], Оружие[#All], 3, 0)</f>
        <v>1</v>
      </c>
      <c r="BC310" s="405">
        <f>IF(ISBLANK(Таблица7[[#This Row],[Дополнительное оружие]]),"", VLOOKUP(Таблица7[[#This Row],[Дополнительное оружие]], Оружие[#All], 3, 0))</f>
        <v>3</v>
      </c>
      <c r="BD31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1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310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31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1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31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10" s="405">
        <f>Таблица7[[#This Row],[Броня]]+Таблица7[[#This Row],[Щит]]+Таблица7[[#This Row],[навык защиты]]</f>
        <v>10</v>
      </c>
      <c r="BK310" s="1006"/>
      <c r="BL310" s="1006"/>
      <c r="BM310" s="379"/>
      <c r="BN310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0" s="379">
        <v>0</v>
      </c>
      <c r="BP310" s="379">
        <v>1</v>
      </c>
      <c r="BQ310" s="379">
        <v>2</v>
      </c>
      <c r="BR310" s="379">
        <v>2</v>
      </c>
      <c r="BS310" s="379">
        <v>-2</v>
      </c>
      <c r="BT310" s="379">
        <v>11</v>
      </c>
      <c r="BU310" s="975" t="s">
        <v>1839</v>
      </c>
      <c r="BV310" s="975" t="s">
        <v>1843</v>
      </c>
      <c r="BW310" s="379"/>
      <c r="BX310" s="379"/>
      <c r="BY310" s="379"/>
      <c r="BZ310" s="64"/>
    </row>
    <row r="311" spans="1:123" s="62" customFormat="1" ht="40.5" customHeight="1" x14ac:dyDescent="0.25">
      <c r="A311" s="333">
        <v>310</v>
      </c>
      <c r="B311" s="864" t="s">
        <v>2394</v>
      </c>
      <c r="C311" s="864" t="s">
        <v>2395</v>
      </c>
      <c r="D311" s="65" t="s">
        <v>1555</v>
      </c>
      <c r="E311" s="65" t="s">
        <v>1570</v>
      </c>
      <c r="F311" s="65"/>
      <c r="G311" s="65"/>
      <c r="H311" s="65"/>
      <c r="I311" s="647">
        <v>0.9</v>
      </c>
      <c r="J311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311" s="593">
        <f>Таблица7[[#This Row],[Размер отряда минимум]]*1.25</f>
        <v>45</v>
      </c>
      <c r="L311" s="593">
        <f>Таблица7[[#This Row],[Размер отряда норма]]*1.5</f>
        <v>67.5</v>
      </c>
      <c r="M311" s="594">
        <f>Таблица7[[#This Row],[Размер отряда минимум]]*2.5</f>
        <v>90</v>
      </c>
      <c r="N311" s="594"/>
      <c r="O311" s="594"/>
      <c r="P311" s="594"/>
      <c r="Q311" s="594"/>
      <c r="R311" s="65" t="s">
        <v>20</v>
      </c>
      <c r="S311" s="864" t="s">
        <v>2362</v>
      </c>
      <c r="T311" s="65" t="s">
        <v>1032</v>
      </c>
      <c r="U311" s="865" t="s">
        <v>2396</v>
      </c>
      <c r="V311" s="866" t="s">
        <v>2397</v>
      </c>
      <c r="W311" s="187" t="s">
        <v>984</v>
      </c>
      <c r="X311" s="65" t="s">
        <v>1683</v>
      </c>
      <c r="Y311" s="864" t="s">
        <v>2222</v>
      </c>
      <c r="Z311" s="65" t="s">
        <v>1441</v>
      </c>
      <c r="AA311" s="864" t="s">
        <v>1934</v>
      </c>
      <c r="AB311" s="65"/>
      <c r="AC311" s="65"/>
      <c r="AD311" s="187" t="s">
        <v>985</v>
      </c>
      <c r="AE311" s="187"/>
      <c r="AF311" s="65" t="s">
        <v>985</v>
      </c>
      <c r="AG311" s="65"/>
      <c r="AH311" s="65" t="s">
        <v>985</v>
      </c>
      <c r="AI311" s="65"/>
      <c r="AJ311" s="187" t="s">
        <v>985</v>
      </c>
      <c r="AK311" s="187"/>
      <c r="AL311" s="214" t="s">
        <v>985</v>
      </c>
      <c r="AM311" s="65" t="s">
        <v>978</v>
      </c>
      <c r="AN311" s="864" t="s">
        <v>992</v>
      </c>
      <c r="AO311" s="65" t="s">
        <v>1904</v>
      </c>
      <c r="AP311" s="65" t="s">
        <v>1115</v>
      </c>
      <c r="AQ311" s="65" t="s">
        <v>2362</v>
      </c>
      <c r="AS311" s="62">
        <v>1500</v>
      </c>
      <c r="AT311" s="63"/>
      <c r="AU311" s="405">
        <v>7</v>
      </c>
      <c r="AV311" s="405" t="s">
        <v>1827</v>
      </c>
      <c r="AW311" s="405">
        <f>VLOOKUP(Таблица7[[#This Row],[Основное оружие]], Оружие[#All], 2, 0)</f>
        <v>0</v>
      </c>
      <c r="AX311" s="405">
        <f>IF(ISBLANK(Таблица7[[#This Row],[Дополнительное оружие]]),"", VLOOKUP(Таблица7[[#This Row],[Дополнительное оружие]], Оружие[#All], 2, 0))</f>
        <v>4</v>
      </c>
      <c r="AY31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1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1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11" s="405">
        <f>VLOOKUP(Таблица7[[#This Row],[Основное оружие]], Оружие[#All], 3, 0)</f>
        <v>1</v>
      </c>
      <c r="BC311" s="405">
        <f>IF(ISBLANK(Таблица7[[#This Row],[Дополнительное оружие]]),"", VLOOKUP(Таблица7[[#This Row],[Дополнительное оружие]], Оружие[#All], 3, 0))</f>
        <v>3</v>
      </c>
      <c r="BD31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1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1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1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1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1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11" s="405">
        <f>Таблица7[[#This Row],[Броня]]+Таблица7[[#This Row],[Щит]]+Таблица7[[#This Row],[навык защиты]]</f>
        <v>7</v>
      </c>
      <c r="BK311" s="1006"/>
      <c r="BL311" s="1006"/>
      <c r="BM311" s="379"/>
      <c r="BN311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1" s="379">
        <v>0</v>
      </c>
      <c r="BP311" s="379">
        <v>-2</v>
      </c>
      <c r="BQ311" s="379">
        <v>0</v>
      </c>
      <c r="BR311" s="379">
        <v>-4</v>
      </c>
      <c r="BS311" s="379">
        <v>-2</v>
      </c>
      <c r="BT311" s="379">
        <v>7</v>
      </c>
      <c r="BU311" s="975" t="s">
        <v>1576</v>
      </c>
      <c r="BV311" s="975" t="s">
        <v>1842</v>
      </c>
      <c r="BW311" s="379"/>
      <c r="BX311" s="379"/>
      <c r="BY311" s="379"/>
      <c r="BZ311" s="64"/>
    </row>
    <row r="312" spans="1:123" s="62" customFormat="1" ht="40.5" customHeight="1" x14ac:dyDescent="0.25">
      <c r="A312" s="333">
        <v>311</v>
      </c>
      <c r="B312" s="864" t="s">
        <v>2398</v>
      </c>
      <c r="C312" s="864" t="s">
        <v>2402</v>
      </c>
      <c r="D312" s="65" t="s">
        <v>1555</v>
      </c>
      <c r="E312" s="65" t="s">
        <v>1546</v>
      </c>
      <c r="F312" s="65"/>
      <c r="G312" s="65"/>
      <c r="H312" s="65"/>
      <c r="I312" s="647">
        <v>0.9</v>
      </c>
      <c r="J312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312" s="593">
        <f>Таблица7[[#This Row],[Размер отряда минимум]]*1.25</f>
        <v>45</v>
      </c>
      <c r="L312" s="593">
        <f>Таблица7[[#This Row],[Размер отряда норма]]*1.5</f>
        <v>67.5</v>
      </c>
      <c r="M312" s="594">
        <f>Таблица7[[#This Row],[Размер отряда минимум]]*2.5</f>
        <v>90</v>
      </c>
      <c r="N312" s="594"/>
      <c r="O312" s="594"/>
      <c r="P312" s="594"/>
      <c r="Q312" s="594"/>
      <c r="R312" s="65" t="s">
        <v>20</v>
      </c>
      <c r="S312" s="864" t="s">
        <v>2362</v>
      </c>
      <c r="T312" s="65" t="s">
        <v>1032</v>
      </c>
      <c r="U312" s="865" t="s">
        <v>2403</v>
      </c>
      <c r="V312" s="866" t="s">
        <v>2404</v>
      </c>
      <c r="W312" s="65" t="s">
        <v>1001</v>
      </c>
      <c r="X312" s="65" t="s">
        <v>1528</v>
      </c>
      <c r="Y312" s="864" t="s">
        <v>2023</v>
      </c>
      <c r="Z312" s="65" t="s">
        <v>1441</v>
      </c>
      <c r="AA312" s="864" t="s">
        <v>1934</v>
      </c>
      <c r="AB312" s="65"/>
      <c r="AC312" s="65"/>
      <c r="AD312" s="187" t="s">
        <v>985</v>
      </c>
      <c r="AE312" s="187"/>
      <c r="AF312" s="65" t="s">
        <v>985</v>
      </c>
      <c r="AG312" s="65"/>
      <c r="AH312" s="65" t="s">
        <v>985</v>
      </c>
      <c r="AI312" s="65"/>
      <c r="AJ312" s="187" t="s">
        <v>985</v>
      </c>
      <c r="AK312" s="187"/>
      <c r="AL312" s="214" t="s">
        <v>985</v>
      </c>
      <c r="AM312" s="65" t="s">
        <v>978</v>
      </c>
      <c r="AN312" s="864" t="s">
        <v>992</v>
      </c>
      <c r="AO312" s="65" t="s">
        <v>1904</v>
      </c>
      <c r="AP312" s="65" t="s">
        <v>1115</v>
      </c>
      <c r="AQ312" s="65" t="s">
        <v>2362</v>
      </c>
      <c r="AS312" s="62">
        <v>1500</v>
      </c>
      <c r="AT312" s="63"/>
      <c r="AU312" s="405">
        <v>7</v>
      </c>
      <c r="AV312" s="405"/>
      <c r="AW312" s="405">
        <f>VLOOKUP(Таблица7[[#This Row],[Основное оружие]], Оружие[#All], 2, 0)</f>
        <v>2</v>
      </c>
      <c r="AX312" s="405">
        <f>IF(ISBLANK(Таблица7[[#This Row],[Дополнительное оружие]]),"", VLOOKUP(Таблица7[[#This Row],[Дополнительное оружие]], Оружие[#All], 2, 0))</f>
        <v>4</v>
      </c>
      <c r="AY31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1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1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12" s="405">
        <f>VLOOKUP(Таблица7[[#This Row],[Основное оружие]], Оружие[#All], 3, 0)</f>
        <v>6</v>
      </c>
      <c r="BC312" s="405">
        <f>IF(ISBLANK(Таблица7[[#This Row],[Дополнительное оружие]]),"", VLOOKUP(Таблица7[[#This Row],[Дополнительное оружие]], Оружие[#All], 3, 0))</f>
        <v>3</v>
      </c>
      <c r="BD31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1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1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1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1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1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12" s="405">
        <f>Таблица7[[#This Row],[Броня]]+Таблица7[[#This Row],[Щит]]+Таблица7[[#This Row],[навык защиты]]</f>
        <v>7</v>
      </c>
      <c r="BK312" s="1006"/>
      <c r="BL312" s="1006"/>
      <c r="BM312" s="379"/>
      <c r="BN312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2" s="379">
        <v>0</v>
      </c>
      <c r="BP312" s="379">
        <v>-2</v>
      </c>
      <c r="BQ312" s="379">
        <v>0</v>
      </c>
      <c r="BR312" s="379">
        <v>-4</v>
      </c>
      <c r="BS312" s="379">
        <v>-2</v>
      </c>
      <c r="BT312" s="379">
        <v>9</v>
      </c>
      <c r="BU312" s="975" t="s">
        <v>1576</v>
      </c>
      <c r="BV312" s="975" t="s">
        <v>1842</v>
      </c>
      <c r="BW312" s="379"/>
      <c r="BX312" s="379"/>
      <c r="BY312" s="379"/>
      <c r="BZ312" s="64"/>
    </row>
    <row r="313" spans="1:123" s="62" customFormat="1" ht="40.5" customHeight="1" x14ac:dyDescent="0.25">
      <c r="A313" s="333">
        <v>312</v>
      </c>
      <c r="B313" s="864" t="s">
        <v>2405</v>
      </c>
      <c r="C313" s="864" t="s">
        <v>2411</v>
      </c>
      <c r="D313" s="65" t="s">
        <v>1556</v>
      </c>
      <c r="E313" s="65" t="s">
        <v>1570</v>
      </c>
      <c r="F313" s="65"/>
      <c r="G313" s="65"/>
      <c r="H313" s="65"/>
      <c r="I313" s="647">
        <v>0.4</v>
      </c>
      <c r="J313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313" s="593">
        <f>Таблица7[[#This Row],[Размер отряда минимум]]*1.25</f>
        <v>50</v>
      </c>
      <c r="L313" s="593">
        <f>Таблица7[[#This Row],[Размер отряда норма]]*1.5</f>
        <v>75</v>
      </c>
      <c r="M313" s="594">
        <f>Таблица7[[#This Row],[Размер отряда минимум]]*2.5</f>
        <v>100</v>
      </c>
      <c r="N313" s="594"/>
      <c r="O313" s="594"/>
      <c r="P313" s="594"/>
      <c r="Q313" s="594"/>
      <c r="R313" s="567" t="s">
        <v>1532</v>
      </c>
      <c r="S313" s="567" t="s">
        <v>2406</v>
      </c>
      <c r="T313" s="65" t="s">
        <v>1032</v>
      </c>
      <c r="U313" s="865" t="s">
        <v>2407</v>
      </c>
      <c r="V313" s="866" t="s">
        <v>2408</v>
      </c>
      <c r="W313" s="65" t="s">
        <v>1001</v>
      </c>
      <c r="X313" s="65" t="s">
        <v>1689</v>
      </c>
      <c r="Y313" s="65" t="s">
        <v>2409</v>
      </c>
      <c r="Z313" s="445" t="s">
        <v>1143</v>
      </c>
      <c r="AA313" s="864" t="s">
        <v>2410</v>
      </c>
      <c r="AB313" s="65"/>
      <c r="AC313" s="65"/>
      <c r="AD313" s="187" t="s">
        <v>985</v>
      </c>
      <c r="AE313" s="187"/>
      <c r="AF313" s="164" t="s">
        <v>1027</v>
      </c>
      <c r="AG313" s="864" t="s">
        <v>1979</v>
      </c>
      <c r="AH313" s="65" t="s">
        <v>1202</v>
      </c>
      <c r="AI313" s="65" t="s">
        <v>1980</v>
      </c>
      <c r="AJ313" s="187" t="s">
        <v>985</v>
      </c>
      <c r="AK313" s="187"/>
      <c r="AL313" s="214" t="s">
        <v>985</v>
      </c>
      <c r="AM313" s="931" t="s">
        <v>935</v>
      </c>
      <c r="AN313" s="864" t="s">
        <v>2383</v>
      </c>
      <c r="AO313" s="864" t="s">
        <v>1983</v>
      </c>
      <c r="AP313" s="65" t="s">
        <v>1116</v>
      </c>
      <c r="AQ313" s="864" t="s">
        <v>2363</v>
      </c>
      <c r="AS313" s="62">
        <v>1500</v>
      </c>
      <c r="AT313" s="63"/>
      <c r="AU313" s="405">
        <v>8</v>
      </c>
      <c r="AV313" s="405" t="s">
        <v>1828</v>
      </c>
      <c r="AW313" s="405">
        <f>VLOOKUP(Таблица7[[#This Row],[Основное оружие]], Оружие[#All], 2, 0)</f>
        <v>0</v>
      </c>
      <c r="AX313" s="405">
        <f>IF(ISBLANK(Таблица7[[#This Row],[Дополнительное оружие]]),"", VLOOKUP(Таблица7[[#This Row],[Дополнительное оружие]], Оружие[#All], 2, 0))</f>
        <v>3</v>
      </c>
      <c r="AY31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31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1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13" s="405">
        <f>VLOOKUP(Таблица7[[#This Row],[Основное оружие]], Оружие[#All], 3, 0)</f>
        <v>1</v>
      </c>
      <c r="BC313" s="405">
        <f>IF(ISBLANK(Таблица7[[#This Row],[Дополнительное оружие]]),"", VLOOKUP(Таблица7[[#This Row],[Дополнительное оружие]], Оружие[#All], 3, 0))</f>
        <v>3</v>
      </c>
      <c r="BD31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1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313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31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1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31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13" s="405">
        <f>Таблица7[[#This Row],[Броня]]+Таблица7[[#This Row],[Щит]]+Таблица7[[#This Row],[навык защиты]]</f>
        <v>10</v>
      </c>
      <c r="BK313" s="1006"/>
      <c r="BL313" s="1006"/>
      <c r="BM313" s="379"/>
      <c r="BN313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3" s="379">
        <v>1</v>
      </c>
      <c r="BP313" s="379">
        <v>1</v>
      </c>
      <c r="BQ313" s="379">
        <v>0</v>
      </c>
      <c r="BR313" s="379">
        <v>2</v>
      </c>
      <c r="BS313" s="379">
        <v>0</v>
      </c>
      <c r="BT313" s="379">
        <v>11</v>
      </c>
      <c r="BU313" s="975" t="s">
        <v>1840</v>
      </c>
      <c r="BV313" s="975" t="s">
        <v>1843</v>
      </c>
      <c r="BW313" s="379"/>
      <c r="BX313" s="379"/>
      <c r="BY313" s="379"/>
      <c r="BZ313" s="64"/>
    </row>
    <row r="314" spans="1:123" s="62" customFormat="1" ht="40.5" customHeight="1" x14ac:dyDescent="0.25">
      <c r="A314" s="333">
        <v>313</v>
      </c>
      <c r="B314" s="864" t="s">
        <v>2412</v>
      </c>
      <c r="C314" s="864" t="s">
        <v>2413</v>
      </c>
      <c r="D314" s="65" t="s">
        <v>1555</v>
      </c>
      <c r="E314" s="65" t="s">
        <v>1547</v>
      </c>
      <c r="F314" s="65"/>
      <c r="G314" s="65"/>
      <c r="H314" s="65"/>
      <c r="I314" s="647">
        <v>0.5</v>
      </c>
      <c r="J314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314" s="593">
        <f>Таблица7[[#This Row],[Размер отряда минимум]]*1.25</f>
        <v>15</v>
      </c>
      <c r="L314" s="593">
        <f>Таблица7[[#This Row],[Размер отряда норма]]*1.5</f>
        <v>22.5</v>
      </c>
      <c r="M314" s="594">
        <f>Таблица7[[#This Row],[Размер отряда минимум]]*2.5</f>
        <v>30</v>
      </c>
      <c r="N314" s="594"/>
      <c r="O314" s="594"/>
      <c r="P314" s="594"/>
      <c r="Q314" s="594"/>
      <c r="R314" s="65" t="s">
        <v>20</v>
      </c>
      <c r="S314" s="864" t="s">
        <v>2362</v>
      </c>
      <c r="T314" s="65" t="s">
        <v>1032</v>
      </c>
      <c r="U314" s="865" t="s">
        <v>2414</v>
      </c>
      <c r="V314" s="866" t="s">
        <v>2415</v>
      </c>
      <c r="W314" s="65" t="s">
        <v>1001</v>
      </c>
      <c r="X314" s="65" t="s">
        <v>2105</v>
      </c>
      <c r="Y314" s="864" t="s">
        <v>2024</v>
      </c>
      <c r="Z314" s="65" t="s">
        <v>1439</v>
      </c>
      <c r="AA314" s="864" t="s">
        <v>2042</v>
      </c>
      <c r="AB314" s="65" t="s">
        <v>1596</v>
      </c>
      <c r="AC314" s="864" t="s">
        <v>1921</v>
      </c>
      <c r="AD314" s="865" t="s">
        <v>2325</v>
      </c>
      <c r="AE314" s="187" t="s">
        <v>2324</v>
      </c>
      <c r="AF314" s="65" t="s">
        <v>985</v>
      </c>
      <c r="AG314" s="65"/>
      <c r="AH314" s="65" t="s">
        <v>985</v>
      </c>
      <c r="AI314" s="65"/>
      <c r="AJ314" s="187" t="s">
        <v>985</v>
      </c>
      <c r="AK314" s="187"/>
      <c r="AL314" s="214" t="s">
        <v>1163</v>
      </c>
      <c r="AM314" s="65" t="s">
        <v>935</v>
      </c>
      <c r="AN314" s="65" t="s">
        <v>952</v>
      </c>
      <c r="AO314" s="864" t="s">
        <v>1871</v>
      </c>
      <c r="AP314" s="65" t="s">
        <v>952</v>
      </c>
      <c r="AQ314" s="864" t="s">
        <v>1871</v>
      </c>
      <c r="AR314" s="65"/>
      <c r="AS314" s="65">
        <v>1500</v>
      </c>
      <c r="AT314" s="63"/>
      <c r="AU314" s="405">
        <v>10</v>
      </c>
      <c r="AV314" s="405"/>
      <c r="AW314" s="405">
        <f>VLOOKUP(Таблица7[[#This Row],[Основное оружие]], Оружие[#All], 2, 0)</f>
        <v>2</v>
      </c>
      <c r="AX314" s="405">
        <f>IF(ISBLANK(Таблица7[[#This Row],[Дополнительное оружие]]),"", VLOOKUP(Таблица7[[#This Row],[Дополнительное оружие]], Оружие[#All], 2, 0))</f>
        <v>3</v>
      </c>
      <c r="AY31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1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1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314" s="405">
        <f>VLOOKUP(Таблица7[[#This Row],[Основное оружие]], Оружие[#All], 3, 0)</f>
        <v>10</v>
      </c>
      <c r="BC314" s="405">
        <f>IF(ISBLANK(Таблица7[[#This Row],[Дополнительное оружие]]),"", VLOOKUP(Таблица7[[#This Row],[Дополнительное оружие]], Оружие[#All], 3, 0))</f>
        <v>3</v>
      </c>
      <c r="BD31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1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1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1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1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1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314" s="405">
        <f>Таблица7[[#This Row],[Броня]]+Таблица7[[#This Row],[Щит]]+Таблица7[[#This Row],[навык защиты]]</f>
        <v>33</v>
      </c>
      <c r="BK314" s="1006"/>
      <c r="BL314" s="1006"/>
      <c r="BM314" s="379"/>
      <c r="BN314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4" s="379">
        <v>0</v>
      </c>
      <c r="BP314" s="379">
        <v>-2</v>
      </c>
      <c r="BQ314" s="379">
        <v>0</v>
      </c>
      <c r="BR314" s="379">
        <v>-4</v>
      </c>
      <c r="BS314" s="379">
        <v>-2</v>
      </c>
      <c r="BT314" s="379">
        <v>11</v>
      </c>
      <c r="BU314" s="975" t="s">
        <v>1840</v>
      </c>
      <c r="BV314" s="975" t="s">
        <v>1844</v>
      </c>
      <c r="BW314" s="379"/>
      <c r="BX314" s="379"/>
      <c r="BY314" s="379"/>
      <c r="BZ314" s="64"/>
    </row>
    <row r="315" spans="1:123" s="151" customFormat="1" ht="40.5" customHeight="1" x14ac:dyDescent="0.25">
      <c r="A315" s="333">
        <v>314</v>
      </c>
      <c r="B315" s="156" t="s">
        <v>1994</v>
      </c>
      <c r="C315" s="156"/>
      <c r="D315" s="266" t="s">
        <v>1556</v>
      </c>
      <c r="E315" s="708" t="s">
        <v>1546</v>
      </c>
      <c r="F315" s="708"/>
      <c r="G315" s="708"/>
      <c r="H315" s="708"/>
      <c r="I315" s="648">
        <v>1</v>
      </c>
      <c r="J315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315" s="595">
        <f>Таблица7[[#This Row],[Размер отряда минимум]]*1.25</f>
        <v>125</v>
      </c>
      <c r="L315" s="595">
        <f>Таблица7[[#This Row],[Размер отряда норма]]*1.5</f>
        <v>187.5</v>
      </c>
      <c r="M315" s="596">
        <f>Таблица7[[#This Row],[Размер отряда минимум]]*2.5</f>
        <v>250</v>
      </c>
      <c r="N315" s="596"/>
      <c r="O315" s="596"/>
      <c r="P315" s="596"/>
      <c r="Q315" s="596"/>
      <c r="R315" s="723" t="s">
        <v>1866</v>
      </c>
      <c r="S315" s="955" t="s">
        <v>2892</v>
      </c>
      <c r="T315" s="707" t="s">
        <v>1032</v>
      </c>
      <c r="U315" s="807" t="s">
        <v>1995</v>
      </c>
      <c r="V315" s="709"/>
      <c r="W315" s="710" t="s">
        <v>984</v>
      </c>
      <c r="X315" s="266" t="s">
        <v>2000</v>
      </c>
      <c r="Y315" s="266"/>
      <c r="Z315" s="811" t="s">
        <v>2001</v>
      </c>
      <c r="AA315" s="266"/>
      <c r="AB315" s="266"/>
      <c r="AC315" s="266"/>
      <c r="AD315" s="812" t="s">
        <v>985</v>
      </c>
      <c r="AE315" s="715"/>
      <c r="AF315" s="812" t="s">
        <v>985</v>
      </c>
      <c r="AG315" s="175"/>
      <c r="AH315" s="812" t="s">
        <v>985</v>
      </c>
      <c r="AI315" s="175"/>
      <c r="AJ315" s="812" t="s">
        <v>985</v>
      </c>
      <c r="AK315" s="817"/>
      <c r="AL315" s="811" t="s">
        <v>985</v>
      </c>
      <c r="AM315" s="125"/>
      <c r="AN315" s="125"/>
      <c r="AO315" s="125"/>
      <c r="AP315" s="580"/>
      <c r="AQ315" s="580"/>
      <c r="AR315" s="580"/>
      <c r="AS315" s="67">
        <v>1500</v>
      </c>
      <c r="AT315" s="69"/>
      <c r="AU315" s="405">
        <v>3</v>
      </c>
      <c r="AV315" s="405"/>
      <c r="AW315" s="405">
        <f>VLOOKUP(Таблица7[[#This Row],[Основное оружие]], Оружие[#All], 2, 0)</f>
        <v>0</v>
      </c>
      <c r="AX315" s="405">
        <f>IF(ISBLANK(Таблица7[[#This Row],[Дополнительное оружие]]),"", VLOOKUP(Таблица7[[#This Row],[Дополнительное оружие]], Оружие[#All], 2, 0))</f>
        <v>1</v>
      </c>
      <c r="AY31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1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31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6</v>
      </c>
      <c r="BB315" s="405">
        <f>VLOOKUP(Таблица7[[#This Row],[Основное оружие]], Оружие[#All], 3, 0)</f>
        <v>1</v>
      </c>
      <c r="BC315" s="405">
        <f>IF(ISBLANK(Таблица7[[#This Row],[Дополнительное оружие]]),"", VLOOKUP(Таблица7[[#This Row],[Дополнительное оружие]], Оружие[#All], 3, 0))</f>
        <v>3</v>
      </c>
      <c r="BD31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1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1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1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1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1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15" s="405">
        <f>Таблица7[[#This Row],[Броня]]+Таблица7[[#This Row],[Щит]]+Таблица7[[#This Row],[навык защиты]]</f>
        <v>5</v>
      </c>
      <c r="BK315" s="1006"/>
      <c r="BL315" s="1006"/>
      <c r="BM315" s="380"/>
      <c r="BN315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5" s="380">
        <v>0</v>
      </c>
      <c r="BP315" s="380">
        <v>0</v>
      </c>
      <c r="BQ315" s="380">
        <v>2</v>
      </c>
      <c r="BR315" s="380">
        <v>-1</v>
      </c>
      <c r="BS315" s="380">
        <v>-2</v>
      </c>
      <c r="BT315" s="380">
        <v>7</v>
      </c>
      <c r="BU315" s="976" t="s">
        <v>1839</v>
      </c>
      <c r="BV315" s="976" t="s">
        <v>1842</v>
      </c>
      <c r="BW315" s="380"/>
      <c r="BX315" s="380"/>
      <c r="BY315" s="380"/>
      <c r="BZ315" s="70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  <c r="DS315" s="67"/>
    </row>
    <row r="316" spans="1:123" s="151" customFormat="1" ht="40.5" customHeight="1" x14ac:dyDescent="0.25">
      <c r="A316" s="333">
        <v>315</v>
      </c>
      <c r="B316" s="156" t="s">
        <v>2011</v>
      </c>
      <c r="C316" s="156"/>
      <c r="D316" s="266" t="s">
        <v>1556</v>
      </c>
      <c r="E316" s="708" t="s">
        <v>1546</v>
      </c>
      <c r="F316" s="708"/>
      <c r="G316" s="708"/>
      <c r="H316" s="708"/>
      <c r="I316" s="648">
        <v>1</v>
      </c>
      <c r="J316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316" s="595">
        <f>Таблица7[[#This Row],[Размер отряда минимум]]*1.25</f>
        <v>125</v>
      </c>
      <c r="L316" s="595">
        <f>Таблица7[[#This Row],[Размер отряда норма]]*1.5</f>
        <v>187.5</v>
      </c>
      <c r="M316" s="596">
        <f>Таблица7[[#This Row],[Размер отряда минимум]]*2.5</f>
        <v>250</v>
      </c>
      <c r="N316" s="596"/>
      <c r="O316" s="596"/>
      <c r="P316" s="596"/>
      <c r="Q316" s="596"/>
      <c r="R316" s="723" t="s">
        <v>1866</v>
      </c>
      <c r="S316" s="955" t="s">
        <v>2892</v>
      </c>
      <c r="T316" s="707" t="s">
        <v>1032</v>
      </c>
      <c r="U316" s="812" t="s">
        <v>2013</v>
      </c>
      <c r="V316" s="809"/>
      <c r="W316" s="710" t="s">
        <v>984</v>
      </c>
      <c r="X316" s="266" t="s">
        <v>1474</v>
      </c>
      <c r="Y316" s="266"/>
      <c r="Z316" s="811" t="s">
        <v>2001</v>
      </c>
      <c r="AA316" s="266"/>
      <c r="AB316" s="266"/>
      <c r="AC316" s="266"/>
      <c r="AD316" s="815" t="s">
        <v>985</v>
      </c>
      <c r="AE316" s="715"/>
      <c r="AF316" s="815" t="s">
        <v>985</v>
      </c>
      <c r="AG316" s="175"/>
      <c r="AH316" s="815" t="s">
        <v>985</v>
      </c>
      <c r="AI316" s="175"/>
      <c r="AJ316" s="711" t="s">
        <v>1991</v>
      </c>
      <c r="AK316" s="817"/>
      <c r="AL316" s="811" t="s">
        <v>985</v>
      </c>
      <c r="AM316" s="125"/>
      <c r="AN316" s="125"/>
      <c r="AO316" s="125"/>
      <c r="AP316" s="580"/>
      <c r="AQ316" s="580"/>
      <c r="AR316" s="67"/>
      <c r="AS316" s="67">
        <v>1500</v>
      </c>
      <c r="AT316" s="69"/>
      <c r="AU316" s="405">
        <v>3</v>
      </c>
      <c r="AV316" s="405"/>
      <c r="AW316" s="405">
        <f>VLOOKUP(Таблица7[[#This Row],[Основное оружие]], Оружие[#All], 2, 0)</f>
        <v>0</v>
      </c>
      <c r="AX316" s="405">
        <f>IF(ISBLANK(Таблица7[[#This Row],[Дополнительное оружие]]),"", VLOOKUP(Таблица7[[#This Row],[Дополнительное оружие]], Оружие[#All], 2, 0))</f>
        <v>1</v>
      </c>
      <c r="AY31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1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31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6</v>
      </c>
      <c r="BB316" s="405">
        <f>VLOOKUP(Таблица7[[#This Row],[Основное оружие]], Оружие[#All], 3, 0)</f>
        <v>1</v>
      </c>
      <c r="BC316" s="405">
        <f>IF(ISBLANK(Таблица7[[#This Row],[Дополнительное оружие]]),"", VLOOKUP(Таблица7[[#This Row],[Дополнительное оружие]], Оружие[#All], 3, 0))</f>
        <v>3</v>
      </c>
      <c r="BD31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1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1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16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3</v>
      </c>
      <c r="BH31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1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16" s="405">
        <f>Таблица7[[#This Row],[Броня]]+Таблица7[[#This Row],[Щит]]+Таблица7[[#This Row],[навык защиты]]</f>
        <v>5</v>
      </c>
      <c r="BK316" s="1006"/>
      <c r="BL316" s="1006"/>
      <c r="BM316" s="380"/>
      <c r="BN316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6" s="380">
        <v>0</v>
      </c>
      <c r="BP316" s="380">
        <v>0</v>
      </c>
      <c r="BQ316" s="380">
        <v>2</v>
      </c>
      <c r="BR316" s="380">
        <v>-1</v>
      </c>
      <c r="BS316" s="380">
        <v>-2</v>
      </c>
      <c r="BT316" s="380">
        <v>7</v>
      </c>
      <c r="BU316" s="976" t="s">
        <v>1839</v>
      </c>
      <c r="BV316" s="976" t="s">
        <v>1842</v>
      </c>
      <c r="BW316" s="380"/>
      <c r="BX316" s="380"/>
      <c r="BY316" s="380"/>
      <c r="BZ316" s="70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  <c r="DS316" s="67"/>
    </row>
    <row r="317" spans="1:123" s="151" customFormat="1" ht="40.5" customHeight="1" x14ac:dyDescent="0.25">
      <c r="A317" s="333">
        <v>316</v>
      </c>
      <c r="B317" s="156" t="s">
        <v>1988</v>
      </c>
      <c r="C317" s="156"/>
      <c r="D317" s="67" t="s">
        <v>1556</v>
      </c>
      <c r="E317" s="708" t="s">
        <v>1546</v>
      </c>
      <c r="F317" s="708"/>
      <c r="G317" s="708"/>
      <c r="H317" s="708"/>
      <c r="I317" s="648">
        <v>1</v>
      </c>
      <c r="J317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317" s="595">
        <f>Таблица7[[#This Row],[Размер отряда минимум]]*1.25</f>
        <v>125</v>
      </c>
      <c r="L317" s="595">
        <f>Таблица7[[#This Row],[Размер отряда норма]]*1.5</f>
        <v>187.5</v>
      </c>
      <c r="M317" s="596">
        <f>Таблица7[[#This Row],[Размер отряда минимум]]*2.5</f>
        <v>250</v>
      </c>
      <c r="N317" s="596"/>
      <c r="O317" s="596"/>
      <c r="P317" s="596"/>
      <c r="Q317" s="596"/>
      <c r="R317" s="723" t="s">
        <v>1866</v>
      </c>
      <c r="S317" s="955" t="s">
        <v>2892</v>
      </c>
      <c r="T317" s="707" t="s">
        <v>1032</v>
      </c>
      <c r="U317" s="807" t="s">
        <v>1996</v>
      </c>
      <c r="V317" s="809"/>
      <c r="W317" s="710" t="s">
        <v>984</v>
      </c>
      <c r="X317" s="67" t="s">
        <v>2003</v>
      </c>
      <c r="Y317" s="67"/>
      <c r="Z317" s="811"/>
      <c r="AA317" s="67"/>
      <c r="AB317" s="67"/>
      <c r="AC317" s="67"/>
      <c r="AD317" s="815" t="s">
        <v>985</v>
      </c>
      <c r="AE317" s="715"/>
      <c r="AF317" s="175" t="s">
        <v>1991</v>
      </c>
      <c r="AG317" s="175"/>
      <c r="AH317" s="815" t="s">
        <v>985</v>
      </c>
      <c r="AI317" s="175"/>
      <c r="AJ317" s="815" t="s">
        <v>985</v>
      </c>
      <c r="AK317" s="817"/>
      <c r="AL317" s="811" t="s">
        <v>985</v>
      </c>
      <c r="AM317" s="125"/>
      <c r="AN317" s="125"/>
      <c r="AO317" s="125"/>
      <c r="AP317" s="580"/>
      <c r="AQ317" s="580"/>
      <c r="AR317" s="67"/>
      <c r="AS317" s="67">
        <v>1500</v>
      </c>
      <c r="AT317" s="69"/>
      <c r="AU317" s="405">
        <v>6</v>
      </c>
      <c r="AV317" s="405"/>
      <c r="AW317" s="405">
        <f>VLOOKUP(Таблица7[[#This Row],[Основное оружие]], Оружие[#All], 2, 0)</f>
        <v>3</v>
      </c>
      <c r="AX317" s="405" t="str">
        <f>IF(ISBLANK(Таблица7[[#This Row],[Дополнительное оружие]]),"", VLOOKUP(Таблица7[[#This Row],[Дополнительное оружие]], Оружие[#All], 2, 0))</f>
        <v/>
      </c>
      <c r="AY31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31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1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17" s="405">
        <f>VLOOKUP(Таблица7[[#This Row],[Основное оружие]], Оружие[#All], 3, 0)</f>
        <v>5</v>
      </c>
      <c r="BC317" s="405" t="str">
        <f>IF(ISBLANK(Таблица7[[#This Row],[Дополнительное оружие]]),"", VLOOKUP(Таблица7[[#This Row],[Дополнительное оружие]], Оружие[#All], 3, 0))</f>
        <v/>
      </c>
      <c r="BD31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1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3</v>
      </c>
      <c r="BF31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1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1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1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17" s="405">
        <f>Таблица7[[#This Row],[Броня]]+Таблица7[[#This Row],[Щит]]+Таблица7[[#This Row],[навык защиты]]</f>
        <v>8</v>
      </c>
      <c r="BK317" s="1006"/>
      <c r="BL317" s="1006"/>
      <c r="BM317" s="380"/>
      <c r="BN317" s="97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7" s="380">
        <v>0</v>
      </c>
      <c r="BP317" s="380">
        <v>1</v>
      </c>
      <c r="BQ317" s="380">
        <v>2</v>
      </c>
      <c r="BR317" s="380">
        <v>2</v>
      </c>
      <c r="BS317" s="380">
        <v>-2</v>
      </c>
      <c r="BT317" s="380">
        <v>12</v>
      </c>
      <c r="BU317" s="976" t="s">
        <v>1841</v>
      </c>
      <c r="BV317" s="976" t="s">
        <v>1842</v>
      </c>
      <c r="BW317" s="380"/>
      <c r="BX317" s="380"/>
      <c r="BY317" s="380"/>
      <c r="BZ317" s="70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  <c r="DS317" s="67"/>
    </row>
    <row r="318" spans="1:123" s="151" customFormat="1" ht="40.5" customHeight="1" x14ac:dyDescent="0.25">
      <c r="A318" s="333">
        <v>317</v>
      </c>
      <c r="B318" s="551" t="s">
        <v>1989</v>
      </c>
      <c r="C318" s="551"/>
      <c r="D318" s="713" t="s">
        <v>1556</v>
      </c>
      <c r="E318" s="714" t="s">
        <v>1546</v>
      </c>
      <c r="F318" s="714"/>
      <c r="G318" s="714"/>
      <c r="H318" s="714"/>
      <c r="I318" s="648">
        <v>1</v>
      </c>
      <c r="J318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318" s="595">
        <f>Таблица7[[#This Row],[Размер отряда минимум]]*1.25</f>
        <v>125</v>
      </c>
      <c r="L318" s="595">
        <f>Таблица7[[#This Row],[Размер отряда норма]]*1.5</f>
        <v>187.5</v>
      </c>
      <c r="M318" s="595">
        <f>Таблица7[[#This Row],[Размер отряда минимум]]*2.5</f>
        <v>250</v>
      </c>
      <c r="N318" s="595"/>
      <c r="O318" s="595"/>
      <c r="P318" s="595"/>
      <c r="Q318" s="595"/>
      <c r="R318" s="723" t="s">
        <v>1866</v>
      </c>
      <c r="S318" s="955" t="s">
        <v>2892</v>
      </c>
      <c r="T318" s="712" t="s">
        <v>1032</v>
      </c>
      <c r="U318" s="807" t="s">
        <v>1997</v>
      </c>
      <c r="V318" s="809"/>
      <c r="W318" s="710" t="s">
        <v>984</v>
      </c>
      <c r="X318" s="713" t="s">
        <v>2006</v>
      </c>
      <c r="Y318" s="713"/>
      <c r="Z318" s="812"/>
      <c r="AA318" s="713"/>
      <c r="AB318" s="713" t="s">
        <v>2016</v>
      </c>
      <c r="AC318" s="713"/>
      <c r="AD318" s="815" t="s">
        <v>985</v>
      </c>
      <c r="AE318" s="715"/>
      <c r="AF318" s="175" t="s">
        <v>1991</v>
      </c>
      <c r="AG318" s="175"/>
      <c r="AH318" s="815" t="s">
        <v>985</v>
      </c>
      <c r="AI318" s="175"/>
      <c r="AJ318" s="815" t="s">
        <v>985</v>
      </c>
      <c r="AK318" s="817"/>
      <c r="AL318" s="811" t="s">
        <v>985</v>
      </c>
      <c r="AM318" s="711"/>
      <c r="AN318" s="711"/>
      <c r="AO318" s="711"/>
      <c r="AP318" s="716"/>
      <c r="AQ318" s="716"/>
      <c r="AR318" s="713"/>
      <c r="AS318" s="67">
        <v>1500</v>
      </c>
      <c r="AT318" s="69"/>
      <c r="AU318" s="406">
        <v>6</v>
      </c>
      <c r="AV318" s="405"/>
      <c r="AW318" s="406">
        <f>VLOOKUP(Таблица7[[#This Row],[Основное оружие]], Оружие[#All], 2, 0)</f>
        <v>2</v>
      </c>
      <c r="AX318" s="406" t="str">
        <f>IF(ISBLANK(Таблица7[[#This Row],[Дополнительное оружие]]),"", VLOOKUP(Таблица7[[#This Row],[Дополнительное оружие]], Оружие[#All], 2, 0))</f>
        <v/>
      </c>
      <c r="AY318" s="406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31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1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18" s="406">
        <f>VLOOKUP(Таблица7[[#This Row],[Основное оружие]], Оружие[#All], 3, 0)</f>
        <v>3</v>
      </c>
      <c r="BC318" s="406" t="str">
        <f>IF(ISBLANK(Таблица7[[#This Row],[Дополнительное оружие]]),"", VLOOKUP(Таблица7[[#This Row],[Дополнительное оружие]], Оружие[#All], 3, 0))</f>
        <v/>
      </c>
      <c r="BD318" s="406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18" s="406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3</v>
      </c>
      <c r="BF318" s="406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18" s="406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1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18" s="406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2</v>
      </c>
      <c r="BJ318" s="406">
        <f>Таблица7[[#This Row],[Броня]]+Таблица7[[#This Row],[Щит]]+Таблица7[[#This Row],[навык защиты]]</f>
        <v>10</v>
      </c>
      <c r="BK318" s="1007"/>
      <c r="BL318" s="1007"/>
      <c r="BM318" s="717"/>
      <c r="BN318" s="98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18" s="717">
        <v>0</v>
      </c>
      <c r="BP318" s="717">
        <v>1</v>
      </c>
      <c r="BQ318" s="717">
        <v>2</v>
      </c>
      <c r="BR318" s="717">
        <v>2</v>
      </c>
      <c r="BS318" s="717">
        <v>-2</v>
      </c>
      <c r="BT318" s="717">
        <v>12</v>
      </c>
      <c r="BU318" s="976" t="s">
        <v>1841</v>
      </c>
      <c r="BV318" s="976" t="s">
        <v>1842</v>
      </c>
      <c r="BW318" s="717"/>
      <c r="BX318" s="717"/>
      <c r="BY318" s="717"/>
      <c r="BZ318" s="70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  <c r="DS318" s="67"/>
    </row>
    <row r="319" spans="1:123" s="67" customFormat="1" ht="40.5" customHeight="1" x14ac:dyDescent="0.25">
      <c r="A319" s="333">
        <v>318</v>
      </c>
      <c r="B319" s="808" t="s">
        <v>1993</v>
      </c>
      <c r="C319" s="551"/>
      <c r="D319" s="713" t="s">
        <v>1556</v>
      </c>
      <c r="E319" s="714" t="s">
        <v>1546</v>
      </c>
      <c r="F319" s="714"/>
      <c r="G319" s="714"/>
      <c r="H319" s="714"/>
      <c r="I319" s="648"/>
      <c r="J319" s="596"/>
      <c r="K319" s="596"/>
      <c r="L319" s="596"/>
      <c r="M319" s="596"/>
      <c r="N319" s="596"/>
      <c r="O319" s="596"/>
      <c r="P319" s="596"/>
      <c r="Q319" s="596"/>
      <c r="R319" s="723" t="s">
        <v>1866</v>
      </c>
      <c r="S319" s="955" t="s">
        <v>2892</v>
      </c>
      <c r="T319" s="712" t="s">
        <v>1032</v>
      </c>
      <c r="U319" s="807" t="s">
        <v>1998</v>
      </c>
      <c r="V319" s="69"/>
      <c r="W319" s="710" t="s">
        <v>984</v>
      </c>
      <c r="X319" s="808" t="s">
        <v>2007</v>
      </c>
      <c r="Y319" s="713"/>
      <c r="Z319" s="808"/>
      <c r="AA319" s="713"/>
      <c r="AB319" s="808"/>
      <c r="AC319" s="713"/>
      <c r="AD319" s="815" t="s">
        <v>985</v>
      </c>
      <c r="AE319" s="715"/>
      <c r="AF319" s="816" t="s">
        <v>985</v>
      </c>
      <c r="AG319" s="808"/>
      <c r="AH319" s="175" t="s">
        <v>1991</v>
      </c>
      <c r="AI319" s="808"/>
      <c r="AJ319" s="816" t="s">
        <v>985</v>
      </c>
      <c r="AK319" s="809"/>
      <c r="AL319" s="811" t="s">
        <v>985</v>
      </c>
      <c r="AM319" s="808"/>
      <c r="AN319" s="808"/>
      <c r="AO319" s="808"/>
      <c r="AQ319" s="716"/>
      <c r="AS319" s="67">
        <v>1500</v>
      </c>
      <c r="AT319" s="69"/>
      <c r="AU319" s="380"/>
      <c r="AV319" s="380"/>
      <c r="AW319" s="380">
        <f>VLOOKUP(Таблица7[[#This Row],[Основное оружие]], Оружие[#All], 2, 0)</f>
        <v>3</v>
      </c>
      <c r="AX319" s="380"/>
      <c r="AY319" s="380"/>
      <c r="AZ319" s="380"/>
      <c r="BA319" s="721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319" s="380"/>
      <c r="BC319" s="380"/>
      <c r="BD319" s="380"/>
      <c r="BE319" s="380">
        <f>VLOOKUP(Таблица7[[#This Row],[доспехи]], Броня[#All], 2, 0)+IF(Таблица7[[#This Row],[Доспех коня]]="да", VLOOKUP(Tables!$B$56,Броня[#All], 2, 0), 0)</f>
        <v>1</v>
      </c>
      <c r="BF319" s="380">
        <f>VLOOKUP(Таблица7[[#This Row],[апгрейд 2]], Броня[#All], 2, 0)+IF(Таблица7[[#This Row],[Доспех коня]]="да", VLOOKUP(Tables!$B$56,Броня[#All], 2, 0), 0)</f>
        <v>3</v>
      </c>
      <c r="BG319" s="380">
        <f>VLOOKUP(Таблица7[[#This Row],[апгрейд 3]], Броня[#All], 2, 0)+IF(Таблица7[[#This Row],[Доспех коня]]="да", VLOOKUP(Tables!$B$56,Броня[#All], 2, 0), 0)</f>
        <v>1</v>
      </c>
      <c r="BH319" s="380"/>
      <c r="BI319" s="380"/>
      <c r="BJ319" s="380"/>
      <c r="BK319" s="976"/>
      <c r="BL319" s="976"/>
      <c r="BM319" s="380"/>
      <c r="BN319" s="976"/>
      <c r="BO319" s="380"/>
      <c r="BP319" s="380"/>
      <c r="BQ319" s="380"/>
      <c r="BR319" s="380"/>
      <c r="BS319" s="380"/>
      <c r="BT319" s="380"/>
      <c r="BU319" s="976"/>
      <c r="BV319" s="976"/>
      <c r="BW319" s="380"/>
      <c r="BX319" s="380"/>
      <c r="BY319" s="380"/>
      <c r="BZ319" s="70"/>
    </row>
    <row r="320" spans="1:123" s="67" customFormat="1" ht="40.5" customHeight="1" x14ac:dyDescent="0.25">
      <c r="A320" s="333">
        <v>319</v>
      </c>
      <c r="B320" s="811" t="s">
        <v>2010</v>
      </c>
      <c r="C320" s="723"/>
      <c r="D320" s="713" t="s">
        <v>1556</v>
      </c>
      <c r="E320" s="714" t="s">
        <v>1546</v>
      </c>
      <c r="F320" s="714"/>
      <c r="G320" s="714"/>
      <c r="H320" s="714"/>
      <c r="I320" s="648">
        <v>0.75</v>
      </c>
      <c r="J320" s="59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20" s="595">
        <f>Таблица7[[#This Row],[Размер отряда минимум]]*1.25</f>
        <v>93.75</v>
      </c>
      <c r="L320" s="595">
        <f>Таблица7[[#This Row],[Размер отряда норма]]*1.5</f>
        <v>140.625</v>
      </c>
      <c r="M320" s="596">
        <f>Таблица7[[#This Row],[Размер отряда минимум]]*2.5</f>
        <v>187.5</v>
      </c>
      <c r="N320" s="596"/>
      <c r="O320" s="596"/>
      <c r="P320" s="596"/>
      <c r="Q320" s="596"/>
      <c r="R320" s="723" t="s">
        <v>1866</v>
      </c>
      <c r="S320" s="955" t="s">
        <v>2892</v>
      </c>
      <c r="T320" s="808" t="s">
        <v>976</v>
      </c>
      <c r="U320" s="812" t="s">
        <v>2012</v>
      </c>
      <c r="V320" s="719"/>
      <c r="W320" s="710" t="s">
        <v>984</v>
      </c>
      <c r="X320" s="718" t="s">
        <v>2002</v>
      </c>
      <c r="Y320" s="718"/>
      <c r="Z320" s="718"/>
      <c r="AA320" s="718"/>
      <c r="AB320" s="718" t="s">
        <v>2016</v>
      </c>
      <c r="AC320" s="718"/>
      <c r="AD320" s="815" t="s">
        <v>985</v>
      </c>
      <c r="AE320" s="720"/>
      <c r="AF320" s="816" t="s">
        <v>985</v>
      </c>
      <c r="AG320" s="718"/>
      <c r="AH320" s="175" t="s">
        <v>1991</v>
      </c>
      <c r="AI320" s="718"/>
      <c r="AJ320" s="815" t="s">
        <v>985</v>
      </c>
      <c r="AK320" s="719"/>
      <c r="AL320" s="811" t="s">
        <v>985</v>
      </c>
      <c r="AM320" s="718"/>
      <c r="AN320" s="718"/>
      <c r="AO320" s="718"/>
      <c r="AP320" s="718"/>
      <c r="AQ320" s="718"/>
      <c r="AS320" s="67">
        <v>1500</v>
      </c>
      <c r="AT320" s="69"/>
      <c r="AU320" s="380">
        <v>2</v>
      </c>
      <c r="AV320" s="380" t="s">
        <v>1827</v>
      </c>
      <c r="AW320" s="380">
        <f>VLOOKUP(Таблица7[[#This Row],[Основное оружие]], Оружие[#All], 2, 0)</f>
        <v>1</v>
      </c>
      <c r="AX320" s="380" t="str">
        <f>IF(ISBLANK(Таблица7[[#This Row],[Дополнительное оружие]]),"", VLOOKUP(Таблица7[[#This Row],[Дополнительное оружие]], Оружие[#All], 2, 0))</f>
        <v/>
      </c>
      <c r="AY320" s="380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20" s="380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</v>
      </c>
      <c r="BA320" s="721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20" s="380">
        <f>VLOOKUP(Таблица7[[#This Row],[Основное оружие]], Оружие[#All], 3, 0)</f>
        <v>3</v>
      </c>
      <c r="BC320" s="380" t="str">
        <f>IF(ISBLANK(Таблица7[[#This Row],[Дополнительное оружие]]),"", VLOOKUP(Таблица7[[#This Row],[Дополнительное оружие]], Оружие[#All], 3, 0))</f>
        <v/>
      </c>
      <c r="BD320" s="380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20" s="380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20" s="380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3</v>
      </c>
      <c r="BG320" s="380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20" s="380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20" s="380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2</v>
      </c>
      <c r="BJ320" s="380">
        <f>Таблица7[[#This Row],[Броня]]+Таблица7[[#This Row],[Щит]]+Таблица7[[#This Row],[навык защиты]]</f>
        <v>6</v>
      </c>
      <c r="BK320" s="1011" t="s">
        <v>1591</v>
      </c>
      <c r="BL320" s="1011"/>
      <c r="BM320" s="718"/>
      <c r="BN320" s="990" t="s">
        <v>1578</v>
      </c>
      <c r="BO320" s="722">
        <v>2</v>
      </c>
      <c r="BP320" s="722">
        <v>-2</v>
      </c>
      <c r="BQ320" s="722">
        <v>0</v>
      </c>
      <c r="BR320" s="722">
        <v>-4</v>
      </c>
      <c r="BS320" s="722">
        <v>-2</v>
      </c>
      <c r="BT320" s="722">
        <v>8</v>
      </c>
      <c r="BU320" s="1014" t="s">
        <v>1839</v>
      </c>
      <c r="BV320" s="1014" t="s">
        <v>1842</v>
      </c>
      <c r="BW320" s="718"/>
      <c r="BX320" s="718"/>
      <c r="BY320" s="718"/>
      <c r="BZ320" s="70"/>
    </row>
    <row r="321" spans="1:78" s="67" customFormat="1" ht="40.5" customHeight="1" x14ac:dyDescent="0.25">
      <c r="A321" s="333">
        <v>320</v>
      </c>
      <c r="B321" s="808" t="s">
        <v>1990</v>
      </c>
      <c r="C321" s="723"/>
      <c r="D321" s="713" t="s">
        <v>1556</v>
      </c>
      <c r="E321" s="714" t="s">
        <v>1546</v>
      </c>
      <c r="F321" s="714"/>
      <c r="G321" s="714"/>
      <c r="H321" s="714"/>
      <c r="I321" s="648"/>
      <c r="J321" s="595"/>
      <c r="K321" s="595"/>
      <c r="L321" s="595"/>
      <c r="M321" s="596"/>
      <c r="N321" s="596"/>
      <c r="O321" s="596"/>
      <c r="P321" s="596"/>
      <c r="Q321" s="596"/>
      <c r="R321" s="723" t="s">
        <v>1866</v>
      </c>
      <c r="S321" s="955" t="s">
        <v>2892</v>
      </c>
      <c r="T321" s="712" t="s">
        <v>1032</v>
      </c>
      <c r="U321" s="807" t="s">
        <v>1999</v>
      </c>
      <c r="V321" s="69"/>
      <c r="W321" s="710" t="s">
        <v>984</v>
      </c>
      <c r="X321" s="67" t="s">
        <v>2006</v>
      </c>
      <c r="AB321" s="718" t="s">
        <v>2016</v>
      </c>
      <c r="AD321" s="713" t="s">
        <v>1991</v>
      </c>
      <c r="AE321" s="713"/>
      <c r="AF321" s="816" t="s">
        <v>985</v>
      </c>
      <c r="AH321" s="816" t="s">
        <v>985</v>
      </c>
      <c r="AJ321" s="815" t="s">
        <v>985</v>
      </c>
      <c r="AK321" s="69"/>
      <c r="AL321" s="811" t="s">
        <v>985</v>
      </c>
      <c r="AS321" s="67">
        <v>1500</v>
      </c>
      <c r="AT321" s="69"/>
      <c r="AU321" s="380"/>
      <c r="AV321" s="380"/>
      <c r="AW321" s="380"/>
      <c r="AX321" s="380"/>
      <c r="AY321" s="380"/>
      <c r="AZ321" s="380"/>
      <c r="BA321" s="721"/>
      <c r="BB321" s="380"/>
      <c r="BC321" s="380"/>
      <c r="BD321" s="380"/>
      <c r="BE321" s="380"/>
      <c r="BF321" s="380"/>
      <c r="BG321" s="380"/>
      <c r="BH321" s="380"/>
      <c r="BI321" s="380"/>
      <c r="BJ321" s="380"/>
      <c r="BK321" s="976"/>
      <c r="BL321" s="976"/>
      <c r="BM321" s="380"/>
      <c r="BN321" s="976"/>
      <c r="BO321" s="380"/>
      <c r="BP321" s="380"/>
      <c r="BQ321" s="380"/>
      <c r="BR321" s="380"/>
      <c r="BS321" s="380"/>
      <c r="BT321" s="380"/>
      <c r="BU321" s="976"/>
      <c r="BV321" s="976"/>
      <c r="BW321" s="380"/>
      <c r="BX321" s="380"/>
      <c r="BY321" s="380"/>
    </row>
    <row r="322" spans="1:78" s="126" customFormat="1" ht="40.5" customHeight="1" x14ac:dyDescent="0.25">
      <c r="A322" s="333">
        <v>321</v>
      </c>
      <c r="B322" s="546" t="s">
        <v>1707</v>
      </c>
      <c r="C322" s="546"/>
      <c r="D322" s="269" t="s">
        <v>1556</v>
      </c>
      <c r="E322" s="269" t="s">
        <v>1570</v>
      </c>
      <c r="F322" s="269"/>
      <c r="G322" s="269"/>
      <c r="H322" s="269"/>
      <c r="I322" s="638">
        <v>0.75</v>
      </c>
      <c r="J322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22" s="619">
        <f>Таблица7[[#This Row],[Размер отряда минимум]]*1.25</f>
        <v>93.75</v>
      </c>
      <c r="L322" s="619">
        <f>Таблица7[[#This Row],[Размер отряда норма]]*1.5</f>
        <v>140.625</v>
      </c>
      <c r="M322" s="620">
        <f>Таблица7[[#This Row],[Размер отряда минимум]]*2.5</f>
        <v>187.5</v>
      </c>
      <c r="N322" s="620"/>
      <c r="O322" s="620"/>
      <c r="P322" s="620"/>
      <c r="Q322" s="620"/>
      <c r="R322" s="127" t="s">
        <v>22</v>
      </c>
      <c r="S322" s="966" t="s">
        <v>2893</v>
      </c>
      <c r="T322" s="269" t="s">
        <v>1032</v>
      </c>
      <c r="U322" s="748" t="s">
        <v>1425</v>
      </c>
      <c r="V322" s="313"/>
      <c r="W322" s="269" t="s">
        <v>984</v>
      </c>
      <c r="X322" s="334" t="s">
        <v>1470</v>
      </c>
      <c r="Y322" s="334"/>
      <c r="Z322" s="334" t="s">
        <v>1435</v>
      </c>
      <c r="AA322" s="334"/>
      <c r="AB322" s="334"/>
      <c r="AC322" s="334"/>
      <c r="AD322" s="272" t="s">
        <v>985</v>
      </c>
      <c r="AE322" s="272"/>
      <c r="AF322" s="269" t="s">
        <v>985</v>
      </c>
      <c r="AG322" s="269"/>
      <c r="AH322" s="269" t="s">
        <v>985</v>
      </c>
      <c r="AI322" s="269"/>
      <c r="AJ322" s="272" t="s">
        <v>985</v>
      </c>
      <c r="AK322" s="272"/>
      <c r="AL322" s="273" t="s">
        <v>985</v>
      </c>
      <c r="AM322" s="269" t="s">
        <v>935</v>
      </c>
      <c r="AN322" s="269" t="s">
        <v>955</v>
      </c>
      <c r="AO322" s="269"/>
      <c r="AP322" s="269" t="s">
        <v>1201</v>
      </c>
      <c r="AQ322" s="269"/>
      <c r="AS322" s="126">
        <v>1500</v>
      </c>
      <c r="AT322" s="128"/>
      <c r="AU322" s="405">
        <v>1</v>
      </c>
      <c r="AV322" s="405" t="s">
        <v>1828</v>
      </c>
      <c r="AW322" s="405">
        <f>VLOOKUP(Таблица7[[#This Row],[Основное оружие]], Оружие[#All], 2, 0)</f>
        <v>0</v>
      </c>
      <c r="AX322" s="405">
        <f>IF(ISBLANK(Таблица7[[#This Row],[Дополнительное оружие]]),"", VLOOKUP(Таблица7[[#This Row],[Дополнительное оружие]], Оружие[#All], 2, 0))</f>
        <v>1</v>
      </c>
      <c r="AY32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2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2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4</v>
      </c>
      <c r="BB322" s="405">
        <f>VLOOKUP(Таблица7[[#This Row],[Основное оружие]], Оружие[#All], 3, 0)</f>
        <v>1</v>
      </c>
      <c r="BC322" s="405">
        <f>IF(ISBLANK(Таблица7[[#This Row],[Дополнительное оружие]]),"", VLOOKUP(Таблица7[[#This Row],[Дополнительное оружие]], Оружие[#All], 3, 0))</f>
        <v>1</v>
      </c>
      <c r="BD32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2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2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2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2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2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22" s="405">
        <f>Таблица7[[#This Row],[Броня]]+Таблица7[[#This Row],[Щит]]+Таблица7[[#This Row],[навык защиты]]</f>
        <v>3</v>
      </c>
      <c r="BK322" s="1006"/>
      <c r="BL322" s="1006"/>
      <c r="BM322" s="392"/>
      <c r="BN322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22" s="392">
        <v>1</v>
      </c>
      <c r="BP322" s="392">
        <v>1</v>
      </c>
      <c r="BQ322" s="392">
        <v>0</v>
      </c>
      <c r="BR322" s="392">
        <v>2</v>
      </c>
      <c r="BS322" s="392">
        <v>0</v>
      </c>
      <c r="BT322" s="392">
        <v>2</v>
      </c>
      <c r="BU322" s="991" t="s">
        <v>1839</v>
      </c>
      <c r="BV322" s="991" t="s">
        <v>1842</v>
      </c>
      <c r="BW322" s="392"/>
      <c r="BX322" s="392"/>
      <c r="BY322" s="392"/>
      <c r="BZ322" s="129"/>
    </row>
    <row r="323" spans="1:78" s="126" customFormat="1" ht="40.5" customHeight="1" x14ac:dyDescent="0.25">
      <c r="A323" s="333">
        <v>322</v>
      </c>
      <c r="B323" s="537" t="s">
        <v>1656</v>
      </c>
      <c r="C323" s="537"/>
      <c r="D323" s="126" t="s">
        <v>1555</v>
      </c>
      <c r="E323" s="269" t="s">
        <v>1570</v>
      </c>
      <c r="F323" s="269"/>
      <c r="G323" s="269"/>
      <c r="H323" s="269"/>
      <c r="I323" s="638">
        <v>1</v>
      </c>
      <c r="J323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323" s="619">
        <f>Таблица7[[#This Row],[Размер отряда минимум]]*1.25</f>
        <v>50</v>
      </c>
      <c r="L323" s="619">
        <f>Таблица7[[#This Row],[Размер отряда норма]]*1.5</f>
        <v>75</v>
      </c>
      <c r="M323" s="620">
        <f>Таблица7[[#This Row],[Размер отряда минимум]]*2.5</f>
        <v>100</v>
      </c>
      <c r="N323" s="620"/>
      <c r="O323" s="620"/>
      <c r="P323" s="620"/>
      <c r="Q323" s="620"/>
      <c r="R323" s="127" t="s">
        <v>22</v>
      </c>
      <c r="S323" s="966" t="s">
        <v>2893</v>
      </c>
      <c r="T323" s="126" t="s">
        <v>1032</v>
      </c>
      <c r="U323" s="748" t="s">
        <v>1190</v>
      </c>
      <c r="V323" s="313"/>
      <c r="W323" s="564" t="s">
        <v>984</v>
      </c>
      <c r="X323" s="126" t="s">
        <v>1688</v>
      </c>
      <c r="Z323" s="126" t="s">
        <v>1441</v>
      </c>
      <c r="AD323" s="564" t="s">
        <v>985</v>
      </c>
      <c r="AE323" s="564"/>
      <c r="AF323" s="126" t="s">
        <v>985</v>
      </c>
      <c r="AH323" s="126" t="s">
        <v>985</v>
      </c>
      <c r="AJ323" s="126" t="s">
        <v>985</v>
      </c>
      <c r="AL323" s="273" t="s">
        <v>985</v>
      </c>
      <c r="AM323" s="269" t="s">
        <v>935</v>
      </c>
      <c r="AN323" s="269" t="s">
        <v>955</v>
      </c>
      <c r="AO323" s="269"/>
      <c r="AP323" s="546" t="s">
        <v>1666</v>
      </c>
      <c r="AQ323" s="546"/>
      <c r="AS323" s="126">
        <v>1500</v>
      </c>
      <c r="AT323" s="128"/>
      <c r="AU323" s="405">
        <v>2</v>
      </c>
      <c r="AV323" s="405" t="s">
        <v>1828</v>
      </c>
      <c r="AW323" s="405">
        <f>VLOOKUP(Таблица7[[#This Row],[Основное оружие]], Оружие[#All], 2, 0)</f>
        <v>0</v>
      </c>
      <c r="AX323" s="405">
        <f>IF(ISBLANK(Таблица7[[#This Row],[Дополнительное оружие]]),"", VLOOKUP(Таблица7[[#This Row],[Дополнительное оружие]], Оружие[#All], 2, 0))</f>
        <v>4</v>
      </c>
      <c r="AY32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2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2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323" s="405">
        <f>VLOOKUP(Таблица7[[#This Row],[Основное оружие]], Оружие[#All], 3, 0)</f>
        <v>1</v>
      </c>
      <c r="BC323" s="405">
        <f>IF(ISBLANK(Таблица7[[#This Row],[Дополнительное оружие]]),"", VLOOKUP(Таблица7[[#This Row],[Дополнительное оружие]], Оружие[#All], 3, 0))</f>
        <v>3</v>
      </c>
      <c r="BD32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2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2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2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2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32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23" s="405">
        <f>Таблица7[[#This Row],[Броня]]+Таблица7[[#This Row],[Щит]]+Таблица7[[#This Row],[навык защиты]]</f>
        <v>2</v>
      </c>
      <c r="BK323" s="1008" t="s">
        <v>1591</v>
      </c>
      <c r="BL323" s="1006"/>
      <c r="BM323" s="392"/>
      <c r="BN323" s="992" t="s">
        <v>1578</v>
      </c>
      <c r="BO323" s="392">
        <v>1</v>
      </c>
      <c r="BP323" s="392">
        <v>-2</v>
      </c>
      <c r="BQ323" s="392">
        <v>0</v>
      </c>
      <c r="BR323" s="392">
        <v>-4</v>
      </c>
      <c r="BS323" s="392">
        <v>-2</v>
      </c>
      <c r="BT323" s="392">
        <v>7</v>
      </c>
      <c r="BU323" s="991" t="s">
        <v>1576</v>
      </c>
      <c r="BV323" s="991" t="s">
        <v>1842</v>
      </c>
      <c r="BW323" s="392"/>
      <c r="BX323" s="392"/>
      <c r="BY323" s="392"/>
    </row>
    <row r="324" spans="1:78" s="126" customFormat="1" ht="40.5" customHeight="1" x14ac:dyDescent="0.25">
      <c r="A324" s="333">
        <v>323</v>
      </c>
      <c r="B324" s="546" t="s">
        <v>1705</v>
      </c>
      <c r="C324" s="546"/>
      <c r="D324" s="126" t="s">
        <v>1555</v>
      </c>
      <c r="E324" s="269" t="s">
        <v>1570</v>
      </c>
      <c r="F324" s="269"/>
      <c r="G324" s="269"/>
      <c r="H324" s="269"/>
      <c r="I324" s="638">
        <v>1</v>
      </c>
      <c r="J324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324" s="619">
        <f>Таблица7[[#This Row],[Размер отряда минимум]]*1.25</f>
        <v>50</v>
      </c>
      <c r="L324" s="619">
        <f>Таблица7[[#This Row],[Размер отряда норма]]*1.5</f>
        <v>75</v>
      </c>
      <c r="M324" s="620">
        <f>Таблица7[[#This Row],[Размер отряда минимум]]*2.5</f>
        <v>100</v>
      </c>
      <c r="N324" s="620"/>
      <c r="O324" s="620"/>
      <c r="P324" s="620"/>
      <c r="Q324" s="620"/>
      <c r="R324" s="127" t="s">
        <v>22</v>
      </c>
      <c r="S324" s="966" t="s">
        <v>2893</v>
      </c>
      <c r="T324" s="269" t="s">
        <v>1032</v>
      </c>
      <c r="U324" s="749" t="s">
        <v>1702</v>
      </c>
      <c r="V324" s="562"/>
      <c r="W324" s="269" t="s">
        <v>984</v>
      </c>
      <c r="X324" s="269" t="s">
        <v>1688</v>
      </c>
      <c r="Y324" s="269"/>
      <c r="Z324" s="269" t="s">
        <v>1441</v>
      </c>
      <c r="AA324" s="269"/>
      <c r="AB324" s="269" t="s">
        <v>944</v>
      </c>
      <c r="AC324" s="269"/>
      <c r="AD324" s="272" t="s">
        <v>985</v>
      </c>
      <c r="AE324" s="272"/>
      <c r="AF324" s="269" t="s">
        <v>985</v>
      </c>
      <c r="AG324" s="269"/>
      <c r="AH324" s="269" t="s">
        <v>1551</v>
      </c>
      <c r="AI324" s="269"/>
      <c r="AJ324" s="272" t="s">
        <v>985</v>
      </c>
      <c r="AK324" s="272"/>
      <c r="AL324" s="273" t="s">
        <v>985</v>
      </c>
      <c r="AM324" s="269" t="s">
        <v>978</v>
      </c>
      <c r="AN324" s="269" t="s">
        <v>1023</v>
      </c>
      <c r="AO324" s="269"/>
      <c r="AP324" s="269" t="s">
        <v>1201</v>
      </c>
      <c r="AQ324" s="269"/>
      <c r="AS324" s="126">
        <v>1502</v>
      </c>
      <c r="AT324" s="128"/>
      <c r="AU324" s="405">
        <v>2</v>
      </c>
      <c r="AV324" s="405" t="s">
        <v>1828</v>
      </c>
      <c r="AW324" s="405">
        <f>VLOOKUP(Таблица7[[#This Row],[Основное оружие]], Оружие[#All], 2, 0)</f>
        <v>0</v>
      </c>
      <c r="AX324" s="405">
        <f>IF(ISBLANK(Таблица7[[#This Row],[Дополнительное оружие]]),"", VLOOKUP(Таблица7[[#This Row],[Дополнительное оружие]], Оружие[#All], 2, 0))</f>
        <v>4</v>
      </c>
      <c r="AY32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2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2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324" s="405">
        <f>VLOOKUP(Таблица7[[#This Row],[Основное оружие]], Оружие[#All], 3, 0)</f>
        <v>1</v>
      </c>
      <c r="BC324" s="405">
        <f>IF(ISBLANK(Таблица7[[#This Row],[Дополнительное оружие]]),"", VLOOKUP(Таблица7[[#This Row],[Дополнительное оружие]], Оружие[#All], 3, 0))</f>
        <v>3</v>
      </c>
      <c r="BD32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2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24" s="405" t="e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#N/A</v>
      </c>
      <c r="BG32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2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32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324" s="405">
        <f>Таблица7[[#This Row],[Броня]]+Таблица7[[#This Row],[Щит]]+Таблица7[[#This Row],[навык защиты]]</f>
        <v>5</v>
      </c>
      <c r="BK324" s="1008" t="s">
        <v>1591</v>
      </c>
      <c r="BL324" s="1006"/>
      <c r="BM324" s="392"/>
      <c r="BN324" s="992" t="s">
        <v>1578</v>
      </c>
      <c r="BO324" s="392">
        <v>1</v>
      </c>
      <c r="BP324" s="392">
        <v>-2</v>
      </c>
      <c r="BQ324" s="392">
        <v>0</v>
      </c>
      <c r="BR324" s="392">
        <v>-4</v>
      </c>
      <c r="BS324" s="392">
        <v>-2</v>
      </c>
      <c r="BT324" s="392">
        <v>7</v>
      </c>
      <c r="BU324" s="991" t="s">
        <v>1576</v>
      </c>
      <c r="BV324" s="991" t="s">
        <v>1842</v>
      </c>
      <c r="BW324" s="392"/>
      <c r="BX324" s="392"/>
      <c r="BY324" s="392"/>
      <c r="BZ324" s="129"/>
    </row>
    <row r="325" spans="1:78" s="126" customFormat="1" ht="40.5" customHeight="1" x14ac:dyDescent="0.25">
      <c r="A325" s="333">
        <v>324</v>
      </c>
      <c r="B325" s="537" t="s">
        <v>1655</v>
      </c>
      <c r="C325" s="537"/>
      <c r="D325" s="126" t="s">
        <v>1555</v>
      </c>
      <c r="E325" s="269" t="s">
        <v>1546</v>
      </c>
      <c r="F325" s="269"/>
      <c r="G325" s="269"/>
      <c r="H325" s="269"/>
      <c r="I325" s="638">
        <v>1</v>
      </c>
      <c r="J325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325" s="619">
        <f>Таблица7[[#This Row],[Размер отряда минимум]]*1.25</f>
        <v>50</v>
      </c>
      <c r="L325" s="619">
        <f>Таблица7[[#This Row],[Размер отряда норма]]*1.5</f>
        <v>75</v>
      </c>
      <c r="M325" s="620">
        <f>Таблица7[[#This Row],[Размер отряда минимум]]*2.5</f>
        <v>100</v>
      </c>
      <c r="N325" s="620"/>
      <c r="O325" s="620"/>
      <c r="P325" s="620"/>
      <c r="Q325" s="620"/>
      <c r="R325" s="127" t="s">
        <v>22</v>
      </c>
      <c r="S325" s="966" t="s">
        <v>2893</v>
      </c>
      <c r="T325" s="269" t="s">
        <v>1032</v>
      </c>
      <c r="U325" s="272" t="s">
        <v>1502</v>
      </c>
      <c r="V325" s="270"/>
      <c r="W325" s="269" t="s">
        <v>984</v>
      </c>
      <c r="X325" s="269" t="s">
        <v>1528</v>
      </c>
      <c r="Y325" s="269"/>
      <c r="Z325" s="269" t="s">
        <v>1441</v>
      </c>
      <c r="AA325" s="269"/>
      <c r="AB325" s="269" t="s">
        <v>944</v>
      </c>
      <c r="AC325" s="269"/>
      <c r="AD325" s="272" t="s">
        <v>2825</v>
      </c>
      <c r="AE325" s="272"/>
      <c r="AF325" s="269" t="s">
        <v>1485</v>
      </c>
      <c r="AG325" s="269"/>
      <c r="AH325" s="269" t="s">
        <v>1027</v>
      </c>
      <c r="AI325" s="269"/>
      <c r="AJ325" s="272" t="s">
        <v>985</v>
      </c>
      <c r="AK325" s="272"/>
      <c r="AL325" s="273" t="s">
        <v>985</v>
      </c>
      <c r="AM325" s="269" t="s">
        <v>977</v>
      </c>
      <c r="AN325" s="883" t="s">
        <v>992</v>
      </c>
      <c r="AO325" s="269"/>
      <c r="AP325" s="269" t="s">
        <v>1201</v>
      </c>
      <c r="AQ325" s="269"/>
      <c r="AS325" s="126">
        <v>1500</v>
      </c>
      <c r="AT325" s="128"/>
      <c r="AU325" s="405">
        <v>6</v>
      </c>
      <c r="AV325" s="405"/>
      <c r="AW325" s="405">
        <f>VLOOKUP(Таблица7[[#This Row],[Основное оружие]], Оружие[#All], 2, 0)</f>
        <v>2</v>
      </c>
      <c r="AX325" s="405">
        <f>IF(ISBLANK(Таблица7[[#This Row],[Дополнительное оружие]]),"", VLOOKUP(Таблица7[[#This Row],[Дополнительное оружие]], Оружие[#All], 2, 0))</f>
        <v>4</v>
      </c>
      <c r="AY32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32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2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325" s="405">
        <f>VLOOKUP(Таблица7[[#This Row],[Основное оружие]], Оружие[#All], 3, 0)</f>
        <v>6</v>
      </c>
      <c r="BC325" s="405">
        <f>IF(ISBLANK(Таблица7[[#This Row],[Дополнительное оружие]]),"", VLOOKUP(Таблица7[[#This Row],[Дополнительное оружие]], Оружие[#All], 3, 0))</f>
        <v>3</v>
      </c>
      <c r="BD32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4</v>
      </c>
      <c r="BE32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5</v>
      </c>
      <c r="BF325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6</v>
      </c>
      <c r="BG32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2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32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325" s="405">
        <f>Таблица7[[#This Row],[Броня]]+Таблица7[[#This Row],[Щит]]+Таблица7[[#This Row],[навык защиты]]</f>
        <v>12</v>
      </c>
      <c r="BK325" s="1006"/>
      <c r="BL325" s="1006"/>
      <c r="BM325" s="392"/>
      <c r="BN325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25" s="392">
        <v>1</v>
      </c>
      <c r="BP325" s="392">
        <v>-2</v>
      </c>
      <c r="BQ325" s="392">
        <v>0</v>
      </c>
      <c r="BR325" s="392">
        <v>-4</v>
      </c>
      <c r="BS325" s="392">
        <v>-2</v>
      </c>
      <c r="BT325" s="392">
        <v>10</v>
      </c>
      <c r="BU325" s="991" t="s">
        <v>1576</v>
      </c>
      <c r="BV325" s="991" t="s">
        <v>1843</v>
      </c>
      <c r="BW325" s="392"/>
      <c r="BX325" s="392"/>
      <c r="BY325" s="392"/>
      <c r="BZ325" s="129"/>
    </row>
    <row r="326" spans="1:78" s="126" customFormat="1" ht="40.5" customHeight="1" x14ac:dyDescent="0.25">
      <c r="A326" s="333">
        <v>325</v>
      </c>
      <c r="B326" s="546" t="s">
        <v>1703</v>
      </c>
      <c r="C326" s="546"/>
      <c r="D326" s="126" t="s">
        <v>1555</v>
      </c>
      <c r="E326" s="126" t="s">
        <v>1571</v>
      </c>
      <c r="I326" s="638">
        <v>0.9</v>
      </c>
      <c r="J326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28.8</v>
      </c>
      <c r="K326" s="619">
        <f>Таблица7[[#This Row],[Размер отряда минимум]]*1.25</f>
        <v>36</v>
      </c>
      <c r="L326" s="619">
        <f>Таблица7[[#This Row],[Размер отряда норма]]*1.5</f>
        <v>54</v>
      </c>
      <c r="M326" s="620">
        <f>Таблица7[[#This Row],[Размер отряда минимум]]*2.5</f>
        <v>72</v>
      </c>
      <c r="N326" s="620"/>
      <c r="O326" s="620"/>
      <c r="P326" s="620"/>
      <c r="Q326" s="620"/>
      <c r="R326" s="127" t="s">
        <v>22</v>
      </c>
      <c r="S326" s="966" t="s">
        <v>2893</v>
      </c>
      <c r="T326" s="269" t="s">
        <v>1032</v>
      </c>
      <c r="U326" s="272" t="s">
        <v>1170</v>
      </c>
      <c r="V326" s="270"/>
      <c r="W326" s="272" t="s">
        <v>1001</v>
      </c>
      <c r="X326" s="348" t="s">
        <v>1687</v>
      </c>
      <c r="Y326" s="348"/>
      <c r="Z326" s="348" t="s">
        <v>1441</v>
      </c>
      <c r="AA326" s="348"/>
      <c r="AB326" s="348" t="s">
        <v>944</v>
      </c>
      <c r="AC326" s="348"/>
      <c r="AD326" s="272" t="s">
        <v>1172</v>
      </c>
      <c r="AE326" s="272"/>
      <c r="AF326" s="269" t="s">
        <v>1477</v>
      </c>
      <c r="AG326" s="269"/>
      <c r="AH326" s="677" t="s">
        <v>985</v>
      </c>
      <c r="AI326" s="677"/>
      <c r="AJ326" s="272" t="s">
        <v>1487</v>
      </c>
      <c r="AK326" s="272"/>
      <c r="AL326" s="273" t="s">
        <v>985</v>
      </c>
      <c r="AM326" s="269" t="s">
        <v>977</v>
      </c>
      <c r="AN326" s="269" t="s">
        <v>1204</v>
      </c>
      <c r="AO326" s="269"/>
      <c r="AP326" s="334" t="s">
        <v>1201</v>
      </c>
      <c r="AQ326" s="334"/>
      <c r="AS326" s="126">
        <v>1500</v>
      </c>
      <c r="AT326" s="128"/>
      <c r="AU326" s="405">
        <v>8</v>
      </c>
      <c r="AV326" s="405" t="s">
        <v>1828</v>
      </c>
      <c r="AW326" s="405">
        <f>VLOOKUP(Таблица7[[#This Row],[Основное оружие]], Оружие[#All], 2, 0)</f>
        <v>0</v>
      </c>
      <c r="AX326" s="405">
        <f>IF(ISBLANK(Таблица7[[#This Row],[Дополнительное оружие]]),"", VLOOKUP(Таблица7[[#This Row],[Дополнительное оружие]], Оружие[#All], 2, 0))</f>
        <v>4</v>
      </c>
      <c r="AY32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32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2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326" s="405">
        <f>VLOOKUP(Таблица7[[#This Row],[Основное оружие]], Оружие[#All], 3, 0)</f>
        <v>1</v>
      </c>
      <c r="BC326" s="405">
        <f>IF(ISBLANK(Таблица7[[#This Row],[Дополнительное оружие]]),"", VLOOKUP(Таблица7[[#This Row],[Дополнительное оружие]], Оружие[#All], 3, 0))</f>
        <v>3</v>
      </c>
      <c r="BD32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32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10</v>
      </c>
      <c r="BF32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26" s="405" t="e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#N/A</v>
      </c>
      <c r="BH32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2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326" s="405">
        <f>Таблица7[[#This Row],[Броня]]+Таблица7[[#This Row],[Щит]]+Таблица7[[#This Row],[навык защиты]]</f>
        <v>17</v>
      </c>
      <c r="BK326" s="1006"/>
      <c r="BL326" s="1006"/>
      <c r="BM326" s="392"/>
      <c r="BN326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26" s="392">
        <v>1</v>
      </c>
      <c r="BP326" s="392">
        <v>-2</v>
      </c>
      <c r="BQ326" s="392">
        <v>0</v>
      </c>
      <c r="BR326" s="392">
        <v>-4</v>
      </c>
      <c r="BS326" s="392">
        <v>-2</v>
      </c>
      <c r="BT326" s="392">
        <v>11</v>
      </c>
      <c r="BU326" s="991" t="s">
        <v>1840</v>
      </c>
      <c r="BV326" s="991" t="s">
        <v>1844</v>
      </c>
      <c r="BW326" s="392"/>
      <c r="BX326" s="392"/>
      <c r="BY326" s="392"/>
      <c r="BZ326" s="129"/>
    </row>
    <row r="327" spans="1:78" s="126" customFormat="1" ht="40.5" customHeight="1" x14ac:dyDescent="0.25">
      <c r="A327" s="333">
        <v>326</v>
      </c>
      <c r="B327" s="452" t="s">
        <v>1542</v>
      </c>
      <c r="C327" s="452"/>
      <c r="D327" s="269" t="s">
        <v>1556</v>
      </c>
      <c r="E327" s="126" t="s">
        <v>1570</v>
      </c>
      <c r="I327" s="638">
        <v>0.4</v>
      </c>
      <c r="J327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327" s="619">
        <f>Таблица7[[#This Row],[Размер отряда минимум]]*1.25</f>
        <v>50</v>
      </c>
      <c r="L327" s="619">
        <f>Таблица7[[#This Row],[Размер отряда норма]]*1.5</f>
        <v>75</v>
      </c>
      <c r="M327" s="620">
        <f>Таблица7[[#This Row],[Размер отряда минимум]]*2.5</f>
        <v>100</v>
      </c>
      <c r="N327" s="620"/>
      <c r="O327" s="620"/>
      <c r="P327" s="620"/>
      <c r="Q327" s="620"/>
      <c r="R327" s="127" t="s">
        <v>22</v>
      </c>
      <c r="S327" s="966" t="s">
        <v>2893</v>
      </c>
      <c r="T327" s="269" t="s">
        <v>1032</v>
      </c>
      <c r="U327" s="749" t="s">
        <v>1718</v>
      </c>
      <c r="V327" s="562"/>
      <c r="W327" s="269" t="s">
        <v>1001</v>
      </c>
      <c r="X327" s="269" t="s">
        <v>1689</v>
      </c>
      <c r="Y327" s="269"/>
      <c r="Z327" s="269" t="s">
        <v>1441</v>
      </c>
      <c r="AA327" s="269"/>
      <c r="AB327" s="416" t="s">
        <v>985</v>
      </c>
      <c r="AC327" s="416"/>
      <c r="AD327" s="751" t="s">
        <v>985</v>
      </c>
      <c r="AE327" s="751"/>
      <c r="AF327" s="269" t="s">
        <v>1027</v>
      </c>
      <c r="AG327" s="269"/>
      <c r="AH327" s="269" t="s">
        <v>1202</v>
      </c>
      <c r="AI327" s="269"/>
      <c r="AJ327" s="272" t="s">
        <v>985</v>
      </c>
      <c r="AK327" s="272"/>
      <c r="AL327" s="273" t="s">
        <v>985</v>
      </c>
      <c r="AM327" s="932" t="s">
        <v>935</v>
      </c>
      <c r="AN327" s="269" t="s">
        <v>1105</v>
      </c>
      <c r="AO327" s="269"/>
      <c r="AP327" s="269" t="s">
        <v>1203</v>
      </c>
      <c r="AQ327" s="269"/>
      <c r="AS327" s="126">
        <v>1500</v>
      </c>
      <c r="AT327" s="128"/>
      <c r="AU327" s="405">
        <v>2</v>
      </c>
      <c r="AV327" s="405" t="s">
        <v>1827</v>
      </c>
      <c r="AW327" s="405">
        <f>VLOOKUP(Таблица7[[#This Row],[Основное оружие]], Оружие[#All], 2, 0)</f>
        <v>0</v>
      </c>
      <c r="AX327" s="405">
        <f>IF(ISBLANK(Таблица7[[#This Row],[Дополнительное оружие]]),"", VLOOKUP(Таблица7[[#This Row],[Дополнительное оружие]], Оружие[#All], 2, 0))</f>
        <v>4</v>
      </c>
      <c r="AY32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2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2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327" s="405">
        <f>VLOOKUP(Таблица7[[#This Row],[Основное оружие]], Оружие[#All], 3, 0)</f>
        <v>1</v>
      </c>
      <c r="BC327" s="405">
        <f>IF(ISBLANK(Таблица7[[#This Row],[Дополнительное оружие]]),"", VLOOKUP(Таблица7[[#This Row],[Дополнительное оружие]], Оружие[#All], 3, 0))</f>
        <v>3</v>
      </c>
      <c r="BD32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2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327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32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2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2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27" s="405">
        <f>Таблица7[[#This Row],[Броня]]+Таблица7[[#This Row],[Щит]]+Таблица7[[#This Row],[навык защиты]]</f>
        <v>4</v>
      </c>
      <c r="BK327" s="1006"/>
      <c r="BL327" s="1006"/>
      <c r="BM327" s="392"/>
      <c r="BN327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27" s="392">
        <v>1</v>
      </c>
      <c r="BP327" s="392">
        <v>1</v>
      </c>
      <c r="BQ327" s="392">
        <v>0</v>
      </c>
      <c r="BR327" s="392">
        <v>2</v>
      </c>
      <c r="BS327" s="392">
        <v>0</v>
      </c>
      <c r="BT327" s="392">
        <v>8</v>
      </c>
      <c r="BU327" s="991" t="s">
        <v>1576</v>
      </c>
      <c r="BV327" s="991" t="s">
        <v>1843</v>
      </c>
      <c r="BW327" s="392"/>
      <c r="BX327" s="392"/>
      <c r="BY327" s="392"/>
      <c r="BZ327" s="129"/>
    </row>
    <row r="328" spans="1:78" s="126" customFormat="1" ht="40.5" customHeight="1" x14ac:dyDescent="0.25">
      <c r="A328" s="333">
        <v>327</v>
      </c>
      <c r="B328" s="537" t="s">
        <v>1654</v>
      </c>
      <c r="C328" s="537"/>
      <c r="D328" s="126" t="s">
        <v>1555</v>
      </c>
      <c r="E328" s="269" t="s">
        <v>1547</v>
      </c>
      <c r="F328" s="269"/>
      <c r="G328" s="269"/>
      <c r="H328" s="269"/>
      <c r="I328" s="638">
        <v>0.6</v>
      </c>
      <c r="J328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14.399999999999999</v>
      </c>
      <c r="K328" s="619">
        <f>Таблица7[[#This Row],[Размер отряда минимум]]*1.25</f>
        <v>18</v>
      </c>
      <c r="L328" s="619">
        <f>Таблица7[[#This Row],[Размер отряда норма]]*1.5</f>
        <v>27</v>
      </c>
      <c r="M328" s="620">
        <f>Таблица7[[#This Row],[Размер отряда минимум]]*2.5</f>
        <v>36</v>
      </c>
      <c r="N328" s="620"/>
      <c r="O328" s="620"/>
      <c r="P328" s="620"/>
      <c r="Q328" s="620"/>
      <c r="R328" s="127" t="s">
        <v>22</v>
      </c>
      <c r="S328" s="966" t="s">
        <v>2893</v>
      </c>
      <c r="T328" s="269" t="s">
        <v>1032</v>
      </c>
      <c r="U328" s="272" t="s">
        <v>1200</v>
      </c>
      <c r="V328" s="270"/>
      <c r="W328" s="269" t="s">
        <v>1001</v>
      </c>
      <c r="X328" s="348" t="s">
        <v>1528</v>
      </c>
      <c r="Y328" s="348"/>
      <c r="Z328" s="348" t="s">
        <v>1441</v>
      </c>
      <c r="AA328" s="348"/>
      <c r="AB328" s="348" t="s">
        <v>1596</v>
      </c>
      <c r="AC328" s="348"/>
      <c r="AD328" s="272" t="s">
        <v>2325</v>
      </c>
      <c r="AE328" s="272"/>
      <c r="AF328" s="269" t="s">
        <v>985</v>
      </c>
      <c r="AG328" s="269"/>
      <c r="AH328" s="269" t="s">
        <v>985</v>
      </c>
      <c r="AI328" s="269"/>
      <c r="AJ328" s="272" t="s">
        <v>985</v>
      </c>
      <c r="AK328" s="272"/>
      <c r="AL328" s="273" t="s">
        <v>1163</v>
      </c>
      <c r="AM328" s="269" t="s">
        <v>935</v>
      </c>
      <c r="AN328" s="269" t="s">
        <v>952</v>
      </c>
      <c r="AO328" s="269"/>
      <c r="AP328" s="269" t="s">
        <v>952</v>
      </c>
      <c r="AQ328" s="269"/>
      <c r="AS328" s="126">
        <v>1500</v>
      </c>
      <c r="AT328" s="128"/>
      <c r="AU328" s="405">
        <v>10</v>
      </c>
      <c r="AV328" s="405"/>
      <c r="AW328" s="405">
        <f>VLOOKUP(Таблица7[[#This Row],[Основное оружие]], Оружие[#All], 2, 0)</f>
        <v>2</v>
      </c>
      <c r="AX328" s="405">
        <f>IF(ISBLANK(Таблица7[[#This Row],[Дополнительное оружие]]),"", VLOOKUP(Таблица7[[#This Row],[Дополнительное оружие]], Оружие[#All], 2, 0))</f>
        <v>4</v>
      </c>
      <c r="AY32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2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2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28" s="405">
        <f>VLOOKUP(Таблица7[[#This Row],[Основное оружие]], Оружие[#All], 3, 0)</f>
        <v>6</v>
      </c>
      <c r="BC328" s="405">
        <f>IF(ISBLANK(Таблица7[[#This Row],[Дополнительное оружие]]),"", VLOOKUP(Таблица7[[#This Row],[Дополнительное оружие]], Оружие[#All], 3, 0))</f>
        <v>3</v>
      </c>
      <c r="BD32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2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2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2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2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2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328" s="405">
        <f>Таблица7[[#This Row],[Броня]]+Таблица7[[#This Row],[Щит]]+Таблица7[[#This Row],[навык защиты]]</f>
        <v>33</v>
      </c>
      <c r="BK328" s="1006"/>
      <c r="BL328" s="1006"/>
      <c r="BM328" s="392"/>
      <c r="BN328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28" s="392">
        <v>1</v>
      </c>
      <c r="BP328" s="392">
        <v>-2</v>
      </c>
      <c r="BQ328" s="392">
        <v>0</v>
      </c>
      <c r="BR328" s="392">
        <v>-4</v>
      </c>
      <c r="BS328" s="392">
        <v>-2</v>
      </c>
      <c r="BT328" s="392">
        <v>11</v>
      </c>
      <c r="BU328" s="991" t="s">
        <v>1840</v>
      </c>
      <c r="BV328" s="991" t="s">
        <v>1844</v>
      </c>
      <c r="BW328" s="392"/>
      <c r="BX328" s="392"/>
      <c r="BY328" s="392"/>
      <c r="BZ328" s="129"/>
    </row>
    <row r="329" spans="1:78" s="131" customFormat="1" ht="40.5" customHeight="1" x14ac:dyDescent="0.25">
      <c r="A329" s="333">
        <v>328</v>
      </c>
      <c r="B329" s="881" t="s">
        <v>2430</v>
      </c>
      <c r="C329" s="881" t="s">
        <v>2426</v>
      </c>
      <c r="D329" s="130" t="s">
        <v>1556</v>
      </c>
      <c r="E329" s="130" t="s">
        <v>1570</v>
      </c>
      <c r="F329" s="130"/>
      <c r="G329" s="130"/>
      <c r="H329" s="130"/>
      <c r="I329" s="660">
        <v>1</v>
      </c>
      <c r="J329" s="62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29" s="621">
        <f>Таблица7[[#This Row],[Размер отряда минимум]]*1.25</f>
        <v>112.5</v>
      </c>
      <c r="L329" s="621">
        <f>Таблица7[[#This Row],[Размер отряда норма]]*1.5</f>
        <v>168.75</v>
      </c>
      <c r="M329" s="622">
        <f>Таблица7[[#This Row],[Размер отряда минимум]]*2.5</f>
        <v>225</v>
      </c>
      <c r="N329" s="622"/>
      <c r="O329" s="622"/>
      <c r="P329" s="622"/>
      <c r="Q329" s="622"/>
      <c r="R329" s="130" t="s">
        <v>23</v>
      </c>
      <c r="S329" s="881" t="s">
        <v>2427</v>
      </c>
      <c r="T329" s="130" t="s">
        <v>975</v>
      </c>
      <c r="U329" s="880" t="s">
        <v>2497</v>
      </c>
      <c r="V329" s="882" t="s">
        <v>2495</v>
      </c>
      <c r="W329" s="314" t="s">
        <v>1001</v>
      </c>
      <c r="X329" s="314" t="s">
        <v>1467</v>
      </c>
      <c r="Y329" s="881" t="s">
        <v>1937</v>
      </c>
      <c r="Z329" s="314" t="s">
        <v>1036</v>
      </c>
      <c r="AA329" s="881" t="s">
        <v>1929</v>
      </c>
      <c r="AB329" s="314"/>
      <c r="AC329" s="314"/>
      <c r="AD329" s="315" t="s">
        <v>991</v>
      </c>
      <c r="AE329" s="880" t="s">
        <v>1951</v>
      </c>
      <c r="AF329" s="363" t="s">
        <v>1483</v>
      </c>
      <c r="AG329" s="363" t="s">
        <v>2429</v>
      </c>
      <c r="AH329" s="314" t="s">
        <v>985</v>
      </c>
      <c r="AI329" s="314"/>
      <c r="AJ329" s="315" t="s">
        <v>985</v>
      </c>
      <c r="AK329" s="315"/>
      <c r="AL329" s="316" t="s">
        <v>985</v>
      </c>
      <c r="AM329" s="314" t="s">
        <v>935</v>
      </c>
      <c r="AN329" s="881" t="s">
        <v>992</v>
      </c>
      <c r="AO329" s="881" t="s">
        <v>1904</v>
      </c>
      <c r="AP329" s="314" t="s">
        <v>1426</v>
      </c>
      <c r="AQ329" s="881" t="s">
        <v>2436</v>
      </c>
      <c r="AS329" s="131">
        <v>1500</v>
      </c>
      <c r="AT329" s="132">
        <v>1550</v>
      </c>
      <c r="AU329" s="405">
        <v>1</v>
      </c>
      <c r="AV329" s="405" t="s">
        <v>1826</v>
      </c>
      <c r="AW329" s="405">
        <f>VLOOKUP(Таблица7[[#This Row],[Основное оружие]], Оружие[#All], 2, 0)</f>
        <v>0</v>
      </c>
      <c r="AX329" s="405">
        <f>IF(ISBLANK(Таблица7[[#This Row],[Дополнительное оружие]]),"", VLOOKUP(Таблица7[[#This Row],[Дополнительное оружие]], Оружие[#All], 2, 0))</f>
        <v>5</v>
      </c>
      <c r="AY32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2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2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329" s="405">
        <f>VLOOKUP(Таблица7[[#This Row],[Основное оружие]], Оружие[#All], 3, 0)</f>
        <v>1</v>
      </c>
      <c r="BC329" s="405">
        <f>IF(ISBLANK(Таблица7[[#This Row],[Дополнительное оружие]]),"", VLOOKUP(Таблица7[[#This Row],[Дополнительное оружие]], Оружие[#All], 3, 0))</f>
        <v>3</v>
      </c>
      <c r="BD32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</v>
      </c>
      <c r="BE32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11</v>
      </c>
      <c r="BF32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2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2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2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29" s="405">
        <f>Таблица7[[#This Row],[Броня]]+Таблица7[[#This Row],[Щит]]+Таблица7[[#This Row],[навык защиты]]</f>
        <v>4</v>
      </c>
      <c r="BK329" s="1006"/>
      <c r="BL329" s="1006"/>
      <c r="BM329" s="393"/>
      <c r="BN329" s="99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29" s="393">
        <v>2</v>
      </c>
      <c r="BP329" s="393">
        <v>1</v>
      </c>
      <c r="BQ329" s="393">
        <v>-1</v>
      </c>
      <c r="BR329" s="393">
        <v>2</v>
      </c>
      <c r="BS329" s="393">
        <v>1</v>
      </c>
      <c r="BT329" s="393">
        <v>2</v>
      </c>
      <c r="BU329" s="993" t="s">
        <v>1839</v>
      </c>
      <c r="BV329" s="993" t="s">
        <v>1842</v>
      </c>
      <c r="BW329" s="393"/>
      <c r="BX329" s="393"/>
      <c r="BY329" s="393"/>
      <c r="BZ329" s="133"/>
    </row>
    <row r="330" spans="1:78" s="131" customFormat="1" ht="40.5" customHeight="1" x14ac:dyDescent="0.25">
      <c r="A330" s="333">
        <v>329</v>
      </c>
      <c r="B330" s="881" t="s">
        <v>2430</v>
      </c>
      <c r="C330" s="881" t="s">
        <v>2426</v>
      </c>
      <c r="D330" s="130" t="s">
        <v>1556</v>
      </c>
      <c r="E330" s="130" t="s">
        <v>1570</v>
      </c>
      <c r="F330" s="130"/>
      <c r="G330" s="130"/>
      <c r="H330" s="130"/>
      <c r="I330" s="660">
        <v>1</v>
      </c>
      <c r="J330" s="62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330" s="621">
        <f>Таблица7[[#This Row],[Размер отряда минимум]]*1.25</f>
        <v>125</v>
      </c>
      <c r="L330" s="621">
        <f>Таблица7[[#This Row],[Размер отряда норма]]*1.5</f>
        <v>187.5</v>
      </c>
      <c r="M330" s="622">
        <f>Таблица7[[#This Row],[Размер отряда минимум]]*2.5</f>
        <v>250</v>
      </c>
      <c r="N330" s="622"/>
      <c r="O330" s="622"/>
      <c r="P330" s="622"/>
      <c r="Q330" s="622"/>
      <c r="R330" s="130" t="s">
        <v>23</v>
      </c>
      <c r="S330" s="881" t="s">
        <v>2427</v>
      </c>
      <c r="T330" s="130" t="s">
        <v>976</v>
      </c>
      <c r="U330" s="880" t="s">
        <v>2498</v>
      </c>
      <c r="V330" s="882" t="s">
        <v>2496</v>
      </c>
      <c r="W330" s="314" t="s">
        <v>1001</v>
      </c>
      <c r="X330" s="314" t="s">
        <v>1469</v>
      </c>
      <c r="Y330" s="314" t="s">
        <v>2056</v>
      </c>
      <c r="Z330" s="314" t="s">
        <v>1440</v>
      </c>
      <c r="AA330" s="881" t="s">
        <v>2020</v>
      </c>
      <c r="AB330" s="314"/>
      <c r="AC330" s="314"/>
      <c r="AD330" s="315" t="s">
        <v>985</v>
      </c>
      <c r="AE330" s="315"/>
      <c r="AF330" s="314" t="s">
        <v>991</v>
      </c>
      <c r="AG330" s="881" t="s">
        <v>1951</v>
      </c>
      <c r="AH330" s="314" t="s">
        <v>985</v>
      </c>
      <c r="AI330" s="314"/>
      <c r="AJ330" s="315" t="s">
        <v>985</v>
      </c>
      <c r="AK330" s="315"/>
      <c r="AL330" s="316" t="s">
        <v>985</v>
      </c>
      <c r="AM330" s="314" t="s">
        <v>935</v>
      </c>
      <c r="AN330" s="881" t="s">
        <v>992</v>
      </c>
      <c r="AO330" s="881" t="s">
        <v>1904</v>
      </c>
      <c r="AP330" s="314" t="s">
        <v>1426</v>
      </c>
      <c r="AQ330" s="881" t="s">
        <v>2436</v>
      </c>
      <c r="AS330" s="131">
        <v>1550</v>
      </c>
      <c r="AT330" s="132"/>
      <c r="AU330" s="405">
        <v>1</v>
      </c>
      <c r="AV330" s="405" t="s">
        <v>1827</v>
      </c>
      <c r="AW330" s="405">
        <f>VLOOKUP(Таблица7[[#This Row],[Основное оружие]], Оружие[#All], 2, 0)</f>
        <v>0</v>
      </c>
      <c r="AX330" s="405">
        <f>IF(ISBLANK(Таблица7[[#This Row],[Дополнительное оружие]]),"", VLOOKUP(Таблица7[[#This Row],[Дополнительное оружие]], Оружие[#All], 2, 0))</f>
        <v>4</v>
      </c>
      <c r="AY33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3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3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330" s="405">
        <f>VLOOKUP(Таблица7[[#This Row],[Основное оружие]], Оружие[#All], 3, 0)</f>
        <v>1</v>
      </c>
      <c r="BC330" s="405">
        <f>IF(ISBLANK(Таблица7[[#This Row],[Дополнительное оружие]]),"", VLOOKUP(Таблица7[[#This Row],[Дополнительное оружие]], Оружие[#All], 3, 0))</f>
        <v>3</v>
      </c>
      <c r="BD33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3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3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3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3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30" s="405">
        <f>Таблица7[[#This Row],[Броня]]+Таблица7[[#This Row],[Щит]]+Таблица7[[#This Row],[навык защиты]]</f>
        <v>3</v>
      </c>
      <c r="BK330" s="1006"/>
      <c r="BL330" s="1006"/>
      <c r="BM330" s="393"/>
      <c r="BN330" s="99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30" s="393">
        <v>2</v>
      </c>
      <c r="BP330" s="393">
        <v>1</v>
      </c>
      <c r="BQ330" s="393">
        <v>-1</v>
      </c>
      <c r="BR330" s="393">
        <v>2</v>
      </c>
      <c r="BS330" s="393">
        <v>1</v>
      </c>
      <c r="BT330" s="393">
        <v>2</v>
      </c>
      <c r="BU330" s="993" t="s">
        <v>1839</v>
      </c>
      <c r="BV330" s="993" t="s">
        <v>1842</v>
      </c>
      <c r="BW330" s="393"/>
      <c r="BX330" s="393"/>
      <c r="BY330" s="393"/>
      <c r="BZ330" s="133"/>
    </row>
    <row r="331" spans="1:78" s="131" customFormat="1" ht="40.5" customHeight="1" x14ac:dyDescent="0.25">
      <c r="A331" s="333">
        <v>330</v>
      </c>
      <c r="B331" s="881" t="s">
        <v>2431</v>
      </c>
      <c r="C331" s="881" t="s">
        <v>2432</v>
      </c>
      <c r="D331" s="130" t="s">
        <v>1555</v>
      </c>
      <c r="E331" s="130" t="s">
        <v>1547</v>
      </c>
      <c r="F331" s="130"/>
      <c r="G331" s="130"/>
      <c r="H331" s="130"/>
      <c r="I331" s="660">
        <v>0.75</v>
      </c>
      <c r="J331" s="62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331" s="621">
        <f>Таблица7[[#This Row],[Размер отряда минимум]]*1.25</f>
        <v>18.75</v>
      </c>
      <c r="L331" s="621">
        <f>Таблица7[[#This Row],[Размер отряда норма]]*1.5</f>
        <v>28.125</v>
      </c>
      <c r="M331" s="622">
        <f>Таблица7[[#This Row],[Размер отряда минимум]]*2.5</f>
        <v>37.5</v>
      </c>
      <c r="N331" s="622"/>
      <c r="O331" s="622"/>
      <c r="P331" s="622"/>
      <c r="Q331" s="622"/>
      <c r="R331" s="130" t="s">
        <v>23</v>
      </c>
      <c r="S331" s="881" t="s">
        <v>2427</v>
      </c>
      <c r="T331" s="130" t="s">
        <v>975</v>
      </c>
      <c r="U331" s="880" t="s">
        <v>1749</v>
      </c>
      <c r="V331" s="882" t="s">
        <v>2433</v>
      </c>
      <c r="W331" s="130" t="s">
        <v>1001</v>
      </c>
      <c r="X331" s="881" t="s">
        <v>2105</v>
      </c>
      <c r="Y331" s="881" t="s">
        <v>2024</v>
      </c>
      <c r="Z331" s="130" t="s">
        <v>1036</v>
      </c>
      <c r="AA331" s="881" t="s">
        <v>1929</v>
      </c>
      <c r="AB331" s="130"/>
      <c r="AC331" s="130"/>
      <c r="AD331" s="802" t="s">
        <v>1002</v>
      </c>
      <c r="AE331" s="880" t="s">
        <v>2025</v>
      </c>
      <c r="AF331" s="165" t="s">
        <v>985</v>
      </c>
      <c r="AG331" s="165"/>
      <c r="AH331" s="165" t="s">
        <v>985</v>
      </c>
      <c r="AI331" s="165"/>
      <c r="AJ331" s="166" t="s">
        <v>1004</v>
      </c>
      <c r="AK331" s="880" t="s">
        <v>1952</v>
      </c>
      <c r="AL331" s="207" t="s">
        <v>1163</v>
      </c>
      <c r="AM331" s="314" t="s">
        <v>1427</v>
      </c>
      <c r="AN331" s="314" t="s">
        <v>999</v>
      </c>
      <c r="AO331" s="881" t="s">
        <v>2032</v>
      </c>
      <c r="AP331" s="314" t="s">
        <v>1426</v>
      </c>
      <c r="AQ331" s="881" t="s">
        <v>2436</v>
      </c>
      <c r="AS331" s="131">
        <v>1500</v>
      </c>
      <c r="AT331" s="132">
        <v>1565</v>
      </c>
      <c r="AU331" s="405">
        <v>6</v>
      </c>
      <c r="AV331" s="405"/>
      <c r="AW331" s="405">
        <f>VLOOKUP(Таблица7[[#This Row],[Основное оружие]], Оружие[#All], 2, 0)</f>
        <v>2</v>
      </c>
      <c r="AX331" s="405">
        <f>IF(ISBLANK(Таблица7[[#This Row],[Дополнительное оружие]]),"", VLOOKUP(Таблица7[[#This Row],[Дополнительное оружие]], Оружие[#All], 2, 0))</f>
        <v>5</v>
      </c>
      <c r="AY33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3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33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331" s="405">
        <f>VLOOKUP(Таблица7[[#This Row],[Основное оружие]], Оружие[#All], 3, 0)</f>
        <v>10</v>
      </c>
      <c r="BC331" s="405">
        <f>IF(ISBLANK(Таблица7[[#This Row],[Дополнительное оружие]]),"", VLOOKUP(Таблица7[[#This Row],[Дополнительное оружие]], Оружие[#All], 3, 0))</f>
        <v>3</v>
      </c>
      <c r="BD33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33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3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3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3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31" s="405">
        <f>Таблица7[[#This Row],[Броня]]+Таблица7[[#This Row],[Щит]]+Таблица7[[#This Row],[навык защиты]]</f>
        <v>23</v>
      </c>
      <c r="BK331" s="1006"/>
      <c r="BL331" s="1006"/>
      <c r="BM331" s="393"/>
      <c r="BN331" s="99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31" s="393">
        <v>2</v>
      </c>
      <c r="BP331" s="393">
        <v>-2</v>
      </c>
      <c r="BQ331" s="393">
        <v>0</v>
      </c>
      <c r="BR331" s="393">
        <v>-4</v>
      </c>
      <c r="BS331" s="393">
        <v>-2</v>
      </c>
      <c r="BT331" s="393">
        <v>9</v>
      </c>
      <c r="BU331" s="993" t="s">
        <v>1576</v>
      </c>
      <c r="BV331" s="993" t="s">
        <v>1843</v>
      </c>
      <c r="BW331" s="393"/>
      <c r="BX331" s="393"/>
      <c r="BY331" s="393"/>
      <c r="BZ331" s="133"/>
    </row>
    <row r="332" spans="1:78" s="131" customFormat="1" ht="40.5" customHeight="1" x14ac:dyDescent="0.25">
      <c r="A332" s="333">
        <v>331</v>
      </c>
      <c r="B332" s="881" t="s">
        <v>2431</v>
      </c>
      <c r="C332" s="881" t="s">
        <v>2432</v>
      </c>
      <c r="D332" s="130" t="s">
        <v>1555</v>
      </c>
      <c r="E332" s="130" t="s">
        <v>1547</v>
      </c>
      <c r="F332" s="130"/>
      <c r="G332" s="130"/>
      <c r="H332" s="130"/>
      <c r="I332" s="660">
        <v>0.75</v>
      </c>
      <c r="J332" s="62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332" s="621">
        <f>Таблица7[[#This Row],[Размер отряда минимум]]*1.25</f>
        <v>22.5</v>
      </c>
      <c r="L332" s="621">
        <f>Таблица7[[#This Row],[Размер отряда норма]]*1.5</f>
        <v>33.75</v>
      </c>
      <c r="M332" s="622">
        <f>Таблица7[[#This Row],[Размер отряда минимум]]*2.5</f>
        <v>45</v>
      </c>
      <c r="N332" s="622"/>
      <c r="O332" s="622"/>
      <c r="P332" s="622"/>
      <c r="Q332" s="622"/>
      <c r="R332" s="130" t="s">
        <v>23</v>
      </c>
      <c r="S332" s="881" t="s">
        <v>2427</v>
      </c>
      <c r="T332" s="130" t="s">
        <v>976</v>
      </c>
      <c r="U332" s="750" t="s">
        <v>1749</v>
      </c>
      <c r="V332" s="882" t="s">
        <v>2434</v>
      </c>
      <c r="W332" s="166" t="s">
        <v>1001</v>
      </c>
      <c r="X332" s="779" t="s">
        <v>1950</v>
      </c>
      <c r="Y332" s="881" t="s">
        <v>1949</v>
      </c>
      <c r="Z332" s="130" t="s">
        <v>1440</v>
      </c>
      <c r="AA332" s="881" t="s">
        <v>2020</v>
      </c>
      <c r="AB332" s="130"/>
      <c r="AC332" s="130"/>
      <c r="AD332" s="802" t="s">
        <v>1481</v>
      </c>
      <c r="AE332" s="802" t="s">
        <v>1978</v>
      </c>
      <c r="AF332" s="165" t="s">
        <v>985</v>
      </c>
      <c r="AG332" s="165"/>
      <c r="AH332" s="165" t="s">
        <v>985</v>
      </c>
      <c r="AI332" s="165"/>
      <c r="AJ332" s="166" t="s">
        <v>1005</v>
      </c>
      <c r="AK332" s="166" t="s">
        <v>2031</v>
      </c>
      <c r="AL332" s="207" t="s">
        <v>985</v>
      </c>
      <c r="AM332" s="314" t="s">
        <v>1427</v>
      </c>
      <c r="AN332" s="314" t="s">
        <v>999</v>
      </c>
      <c r="AO332" s="881" t="s">
        <v>2032</v>
      </c>
      <c r="AP332" s="314" t="s">
        <v>1426</v>
      </c>
      <c r="AQ332" s="881" t="s">
        <v>2436</v>
      </c>
      <c r="AS332" s="131">
        <v>1565</v>
      </c>
      <c r="AT332" s="132"/>
      <c r="AU332" s="405">
        <v>6</v>
      </c>
      <c r="AV332" s="405" t="s">
        <v>1827</v>
      </c>
      <c r="AW332" s="405">
        <f>VLOOKUP(Таблица7[[#This Row],[Основное оружие]], Оружие[#All], 2, 0)</f>
        <v>0</v>
      </c>
      <c r="AX332" s="405">
        <f>IF(ISBLANK(Таблица7[[#This Row],[Дополнительное оружие]]),"", VLOOKUP(Таблица7[[#This Row],[Дополнительное оружие]], Оружие[#All], 2, 0))</f>
        <v>4</v>
      </c>
      <c r="AY33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3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3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32" s="405">
        <f>VLOOKUP(Таблица7[[#This Row],[Основное оружие]], Оружие[#All], 3, 0)</f>
        <v>1</v>
      </c>
      <c r="BC332" s="405">
        <f>IF(ISBLANK(Таблица7[[#This Row],[Дополнительное оружие]]),"", VLOOKUP(Таблица7[[#This Row],[Дополнительное оружие]], Оружие[#All], 3, 0))</f>
        <v>3</v>
      </c>
      <c r="BD33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33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3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33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3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32" s="405">
        <f>Таблица7[[#This Row],[Броня]]+Таблица7[[#This Row],[Щит]]+Таблица7[[#This Row],[навык защиты]]</f>
        <v>20</v>
      </c>
      <c r="BK332" s="1006"/>
      <c r="BL332" s="1006"/>
      <c r="BM332" s="393"/>
      <c r="BN332" s="99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32" s="393">
        <v>2</v>
      </c>
      <c r="BP332" s="393">
        <v>-2</v>
      </c>
      <c r="BQ332" s="393">
        <v>0</v>
      </c>
      <c r="BR332" s="393">
        <v>-4</v>
      </c>
      <c r="BS332" s="393">
        <v>-2</v>
      </c>
      <c r="BT332" s="393">
        <v>9</v>
      </c>
      <c r="BU332" s="993" t="s">
        <v>1576</v>
      </c>
      <c r="BV332" s="993" t="s">
        <v>1843</v>
      </c>
      <c r="BW332" s="393"/>
      <c r="BX332" s="393"/>
      <c r="BY332" s="393"/>
      <c r="BZ332" s="133"/>
    </row>
    <row r="333" spans="1:78" s="131" customFormat="1" ht="40.5" customHeight="1" x14ac:dyDescent="0.25">
      <c r="A333" s="333">
        <v>332</v>
      </c>
      <c r="B333" s="304" t="s">
        <v>1376</v>
      </c>
      <c r="C333" s="881" t="s">
        <v>2440</v>
      </c>
      <c r="D333" s="130" t="s">
        <v>1555</v>
      </c>
      <c r="E333" s="130" t="s">
        <v>1547</v>
      </c>
      <c r="F333" s="130"/>
      <c r="G333" s="130"/>
      <c r="H333" s="130"/>
      <c r="I333" s="660">
        <v>0.75</v>
      </c>
      <c r="J333" s="62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333" s="621">
        <f>Таблица7[[#This Row],[Размер отряда минимум]]*1.25</f>
        <v>18.75</v>
      </c>
      <c r="L333" s="621">
        <f>Таблица7[[#This Row],[Размер отряда норма]]*1.5</f>
        <v>28.125</v>
      </c>
      <c r="M333" s="622">
        <f>Таблица7[[#This Row],[Размер отряда минимум]]*2.5</f>
        <v>37.5</v>
      </c>
      <c r="N333" s="622"/>
      <c r="O333" s="622"/>
      <c r="P333" s="622"/>
      <c r="Q333" s="622"/>
      <c r="R333" s="130" t="s">
        <v>23</v>
      </c>
      <c r="S333" s="881" t="s">
        <v>2427</v>
      </c>
      <c r="T333" s="130" t="s">
        <v>975</v>
      </c>
      <c r="U333" s="880" t="s">
        <v>1748</v>
      </c>
      <c r="V333" s="882" t="s">
        <v>2441</v>
      </c>
      <c r="W333" s="130" t="s">
        <v>1001</v>
      </c>
      <c r="X333" s="881" t="s">
        <v>2105</v>
      </c>
      <c r="Y333" s="881" t="s">
        <v>2024</v>
      </c>
      <c r="Z333" s="517" t="s">
        <v>1514</v>
      </c>
      <c r="AA333" s="881" t="s">
        <v>2435</v>
      </c>
      <c r="AB333" s="130"/>
      <c r="AC333" s="130"/>
      <c r="AD333" s="802" t="s">
        <v>1002</v>
      </c>
      <c r="AE333" s="880" t="s">
        <v>2025</v>
      </c>
      <c r="AF333" s="165" t="s">
        <v>985</v>
      </c>
      <c r="AG333" s="165"/>
      <c r="AH333" s="165" t="s">
        <v>985</v>
      </c>
      <c r="AI333" s="165"/>
      <c r="AJ333" s="166" t="s">
        <v>1004</v>
      </c>
      <c r="AK333" s="880" t="s">
        <v>1952</v>
      </c>
      <c r="AL333" s="207" t="s">
        <v>1163</v>
      </c>
      <c r="AM333" s="130" t="s">
        <v>978</v>
      </c>
      <c r="AN333" s="224" t="s">
        <v>1173</v>
      </c>
      <c r="AO333" s="881" t="s">
        <v>2439</v>
      </c>
      <c r="AP333" s="881" t="s">
        <v>2437</v>
      </c>
      <c r="AQ333" s="881" t="s">
        <v>2438</v>
      </c>
      <c r="AS333" s="131">
        <v>1500</v>
      </c>
      <c r="AT333" s="132">
        <v>1565</v>
      </c>
      <c r="AU333" s="405">
        <v>6</v>
      </c>
      <c r="AV333" s="405"/>
      <c r="AW333" s="405">
        <f>VLOOKUP(Таблица7[[#This Row],[Основное оружие]], Оружие[#All], 2, 0)</f>
        <v>2</v>
      </c>
      <c r="AX333" s="405">
        <f>IF(ISBLANK(Таблица7[[#This Row],[Дополнительное оружие]]),"", VLOOKUP(Таблица7[[#This Row],[Дополнительное оружие]], Оружие[#All], 2, 0))</f>
        <v>4</v>
      </c>
      <c r="AY33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3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33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33" s="405">
        <f>VLOOKUP(Таблица7[[#This Row],[Основное оружие]], Оружие[#All], 3, 0)</f>
        <v>10</v>
      </c>
      <c r="BC333" s="405">
        <f>IF(ISBLANK(Таблица7[[#This Row],[Дополнительное оружие]]),"", VLOOKUP(Таблица7[[#This Row],[Дополнительное оружие]], Оружие[#All], 3, 0))</f>
        <v>6</v>
      </c>
      <c r="BD33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33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3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3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3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33" s="405">
        <f>Таблица7[[#This Row],[Броня]]+Таблица7[[#This Row],[Щит]]+Таблица7[[#This Row],[навык защиты]]</f>
        <v>23</v>
      </c>
      <c r="BK333" s="1006"/>
      <c r="BL333" s="1006"/>
      <c r="BM333" s="393"/>
      <c r="BN333" s="99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33" s="393">
        <v>2</v>
      </c>
      <c r="BP333" s="393">
        <v>-2</v>
      </c>
      <c r="BQ333" s="393">
        <v>0</v>
      </c>
      <c r="BR333" s="393">
        <v>-4</v>
      </c>
      <c r="BS333" s="393">
        <v>-2</v>
      </c>
      <c r="BT333" s="393">
        <v>10</v>
      </c>
      <c r="BU333" s="993" t="s">
        <v>1576</v>
      </c>
      <c r="BV333" s="993" t="s">
        <v>1844</v>
      </c>
      <c r="BW333" s="393"/>
      <c r="BX333" s="393"/>
      <c r="BY333" s="393"/>
      <c r="BZ333" s="133"/>
    </row>
    <row r="334" spans="1:78" s="131" customFormat="1" ht="40.5" customHeight="1" x14ac:dyDescent="0.25">
      <c r="A334" s="333">
        <v>333</v>
      </c>
      <c r="B334" s="304" t="s">
        <v>1376</v>
      </c>
      <c r="C334" s="881" t="s">
        <v>2440</v>
      </c>
      <c r="D334" s="130" t="s">
        <v>1555</v>
      </c>
      <c r="E334" s="130" t="s">
        <v>1547</v>
      </c>
      <c r="F334" s="130"/>
      <c r="G334" s="130"/>
      <c r="H334" s="130"/>
      <c r="I334" s="660">
        <v>0.75</v>
      </c>
      <c r="J334" s="62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334" s="621">
        <f>Таблица7[[#This Row],[Размер отряда минимум]]*1.25</f>
        <v>22.5</v>
      </c>
      <c r="L334" s="621">
        <f>Таблица7[[#This Row],[Размер отряда норма]]*1.5</f>
        <v>33.75</v>
      </c>
      <c r="M334" s="622">
        <f>Таблица7[[#This Row],[Размер отряда минимум]]*2.5</f>
        <v>45</v>
      </c>
      <c r="N334" s="622"/>
      <c r="O334" s="622"/>
      <c r="P334" s="622"/>
      <c r="Q334" s="622"/>
      <c r="R334" s="130" t="s">
        <v>23</v>
      </c>
      <c r="S334" s="881" t="s">
        <v>2427</v>
      </c>
      <c r="T334" s="130" t="s">
        <v>976</v>
      </c>
      <c r="U334" s="750" t="s">
        <v>1748</v>
      </c>
      <c r="V334" s="882" t="s">
        <v>2442</v>
      </c>
      <c r="W334" s="130" t="s">
        <v>1001</v>
      </c>
      <c r="X334" s="779" t="s">
        <v>1950</v>
      </c>
      <c r="Y334" s="881" t="s">
        <v>1949</v>
      </c>
      <c r="Z334" s="517" t="s">
        <v>1514</v>
      </c>
      <c r="AA334" s="881" t="s">
        <v>2020</v>
      </c>
      <c r="AB334" s="130"/>
      <c r="AC334" s="130"/>
      <c r="AD334" s="802" t="s">
        <v>1481</v>
      </c>
      <c r="AE334" s="802" t="s">
        <v>1978</v>
      </c>
      <c r="AF334" s="165" t="s">
        <v>985</v>
      </c>
      <c r="AG334" s="165"/>
      <c r="AH334" s="165" t="s">
        <v>985</v>
      </c>
      <c r="AI334" s="165"/>
      <c r="AJ334" s="166" t="s">
        <v>1005</v>
      </c>
      <c r="AK334" s="166" t="s">
        <v>2031</v>
      </c>
      <c r="AL334" s="316" t="s">
        <v>985</v>
      </c>
      <c r="AM334" s="130" t="s">
        <v>978</v>
      </c>
      <c r="AN334" s="224" t="s">
        <v>1173</v>
      </c>
      <c r="AO334" s="881" t="s">
        <v>2439</v>
      </c>
      <c r="AP334" s="881" t="s">
        <v>2437</v>
      </c>
      <c r="AQ334" s="881" t="s">
        <v>2438</v>
      </c>
      <c r="AS334" s="131">
        <v>1565</v>
      </c>
      <c r="AT334" s="132"/>
      <c r="AU334" s="405">
        <v>6</v>
      </c>
      <c r="AV334" s="405" t="s">
        <v>1828</v>
      </c>
      <c r="AW334" s="405">
        <f>VLOOKUP(Таблица7[[#This Row],[Основное оружие]], Оружие[#All], 2, 0)</f>
        <v>0</v>
      </c>
      <c r="AX334" s="405">
        <f>IF(ISBLANK(Таблица7[[#This Row],[Дополнительное оружие]]),"", VLOOKUP(Таблица7[[#This Row],[Дополнительное оружие]], Оружие[#All], 2, 0))</f>
        <v>4</v>
      </c>
      <c r="AY33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3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3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34" s="405">
        <f>VLOOKUP(Таблица7[[#This Row],[Основное оружие]], Оружие[#All], 3, 0)</f>
        <v>1</v>
      </c>
      <c r="BC334" s="405">
        <f>IF(ISBLANK(Таблица7[[#This Row],[Дополнительное оружие]]),"", VLOOKUP(Таблица7[[#This Row],[Дополнительное оружие]], Оружие[#All], 3, 0))</f>
        <v>6</v>
      </c>
      <c r="BD33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33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3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33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3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34" s="405">
        <f>Таблица7[[#This Row],[Броня]]+Таблица7[[#This Row],[Щит]]+Таблица7[[#This Row],[навык защиты]]</f>
        <v>20</v>
      </c>
      <c r="BK334" s="1006"/>
      <c r="BL334" s="1006"/>
      <c r="BM334" s="393"/>
      <c r="BN334" s="99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34" s="393">
        <v>2</v>
      </c>
      <c r="BP334" s="393">
        <v>-2</v>
      </c>
      <c r="BQ334" s="393">
        <v>0</v>
      </c>
      <c r="BR334" s="393">
        <v>-4</v>
      </c>
      <c r="BS334" s="393">
        <v>-2</v>
      </c>
      <c r="BT334" s="393">
        <v>10</v>
      </c>
      <c r="BU334" s="993" t="s">
        <v>1576</v>
      </c>
      <c r="BV334" s="993" t="s">
        <v>1844</v>
      </c>
      <c r="BW334" s="393"/>
      <c r="BX334" s="393"/>
      <c r="BY334" s="393"/>
      <c r="BZ334" s="133"/>
    </row>
    <row r="335" spans="1:78" s="131" customFormat="1" ht="40.5" customHeight="1" x14ac:dyDescent="0.25">
      <c r="A335" s="333">
        <v>334</v>
      </c>
      <c r="B335" s="676" t="s">
        <v>1750</v>
      </c>
      <c r="C335" s="881" t="s">
        <v>2443</v>
      </c>
      <c r="D335" s="130" t="s">
        <v>1555</v>
      </c>
      <c r="E335" s="130" t="s">
        <v>1547</v>
      </c>
      <c r="F335" s="130"/>
      <c r="G335" s="130"/>
      <c r="H335" s="130"/>
      <c r="I335" s="660">
        <v>0.5</v>
      </c>
      <c r="J335" s="62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335" s="621">
        <f>Таблица7[[#This Row],[Размер отряда минимум]]*1.25</f>
        <v>12.5</v>
      </c>
      <c r="L335" s="621">
        <f>Таблица7[[#This Row],[Размер отряда норма]]*1.5</f>
        <v>18.75</v>
      </c>
      <c r="M335" s="622">
        <f>Таблица7[[#This Row],[Размер отряда минимум]]*2.5</f>
        <v>25</v>
      </c>
      <c r="N335" s="622"/>
      <c r="O335" s="622"/>
      <c r="P335" s="622"/>
      <c r="Q335" s="622"/>
      <c r="R335" s="130" t="s">
        <v>23</v>
      </c>
      <c r="S335" s="881" t="s">
        <v>2427</v>
      </c>
      <c r="T335" s="130" t="s">
        <v>975</v>
      </c>
      <c r="U335" s="880" t="s">
        <v>1836</v>
      </c>
      <c r="V335" s="882" t="s">
        <v>2463</v>
      </c>
      <c r="W335" s="130" t="s">
        <v>1001</v>
      </c>
      <c r="X335" s="881" t="s">
        <v>2105</v>
      </c>
      <c r="Y335" s="881" t="s">
        <v>2024</v>
      </c>
      <c r="Z335" s="130" t="s">
        <v>1036</v>
      </c>
      <c r="AA335" s="881" t="s">
        <v>1929</v>
      </c>
      <c r="AB335" s="130"/>
      <c r="AC335" s="130"/>
      <c r="AD335" s="315" t="s">
        <v>1004</v>
      </c>
      <c r="AE335" s="880" t="s">
        <v>1952</v>
      </c>
      <c r="AF335" s="165" t="s">
        <v>985</v>
      </c>
      <c r="AG335" s="165"/>
      <c r="AH335" s="165" t="s">
        <v>985</v>
      </c>
      <c r="AI335" s="165"/>
      <c r="AJ335" s="315" t="s">
        <v>985</v>
      </c>
      <c r="AK335" s="315"/>
      <c r="AL335" s="316" t="s">
        <v>1163</v>
      </c>
      <c r="AM335" s="314" t="s">
        <v>935</v>
      </c>
      <c r="AN335" s="314" t="s">
        <v>952</v>
      </c>
      <c r="AO335" s="881" t="s">
        <v>1871</v>
      </c>
      <c r="AP335" s="314" t="s">
        <v>952</v>
      </c>
      <c r="AQ335" s="881" t="s">
        <v>1871</v>
      </c>
      <c r="AS335" s="131">
        <v>1500</v>
      </c>
      <c r="AT335" s="132">
        <v>1565</v>
      </c>
      <c r="AU335" s="405">
        <v>10</v>
      </c>
      <c r="AV335" s="405"/>
      <c r="AW335" s="405">
        <f>VLOOKUP(Таблица7[[#This Row],[Основное оружие]], Оружие[#All], 2, 0)</f>
        <v>2</v>
      </c>
      <c r="AX335" s="405">
        <f>IF(ISBLANK(Таблица7[[#This Row],[Дополнительное оружие]]),"", VLOOKUP(Таблица7[[#This Row],[Дополнительное оружие]], Оружие[#All], 2, 0))</f>
        <v>5</v>
      </c>
      <c r="AY33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3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3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335" s="405">
        <f>VLOOKUP(Таблица7[[#This Row],[Основное оружие]], Оружие[#All], 3, 0)</f>
        <v>10</v>
      </c>
      <c r="BC335" s="405">
        <f>IF(ISBLANK(Таблица7[[#This Row],[Дополнительное оружие]]),"", VLOOKUP(Таблица7[[#This Row],[Дополнительное оружие]], Оружие[#All], 3, 0))</f>
        <v>3</v>
      </c>
      <c r="BD33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33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3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3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3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35" s="405">
        <f>Таблица7[[#This Row],[Броня]]+Таблица7[[#This Row],[Щит]]+Таблица7[[#This Row],[навык защиты]]</f>
        <v>29</v>
      </c>
      <c r="BK335" s="1006"/>
      <c r="BL335" s="1006"/>
      <c r="BM335" s="393"/>
      <c r="BN335" s="99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35" s="393">
        <v>2</v>
      </c>
      <c r="BP335" s="393">
        <v>-2</v>
      </c>
      <c r="BQ335" s="393">
        <v>0</v>
      </c>
      <c r="BR335" s="393">
        <v>-4</v>
      </c>
      <c r="BS335" s="393">
        <v>-2</v>
      </c>
      <c r="BT335" s="393">
        <v>11</v>
      </c>
      <c r="BU335" s="993" t="s">
        <v>1840</v>
      </c>
      <c r="BV335" s="993" t="s">
        <v>1844</v>
      </c>
      <c r="BW335" s="393"/>
      <c r="BX335" s="393"/>
      <c r="BY335" s="393"/>
      <c r="BZ335" s="133"/>
    </row>
    <row r="336" spans="1:78" s="131" customFormat="1" ht="40.5" customHeight="1" x14ac:dyDescent="0.25">
      <c r="A336" s="333">
        <v>335</v>
      </c>
      <c r="B336" s="676" t="s">
        <v>1750</v>
      </c>
      <c r="C336" s="881" t="s">
        <v>2443</v>
      </c>
      <c r="D336" s="130" t="s">
        <v>1555</v>
      </c>
      <c r="E336" s="130" t="s">
        <v>1547</v>
      </c>
      <c r="F336" s="130"/>
      <c r="G336" s="130"/>
      <c r="H336" s="130"/>
      <c r="I336" s="660">
        <v>0.5</v>
      </c>
      <c r="J336" s="62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336" s="621">
        <f>Таблица7[[#This Row],[Размер отряда минимум]]*1.25</f>
        <v>15</v>
      </c>
      <c r="L336" s="621">
        <f>Таблица7[[#This Row],[Размер отряда норма]]*1.5</f>
        <v>22.5</v>
      </c>
      <c r="M336" s="622">
        <f>Таблица7[[#This Row],[Размер отряда минимум]]*2.5</f>
        <v>30</v>
      </c>
      <c r="N336" s="622"/>
      <c r="O336" s="622"/>
      <c r="P336" s="622"/>
      <c r="Q336" s="622"/>
      <c r="R336" s="130" t="s">
        <v>23</v>
      </c>
      <c r="S336" s="881" t="s">
        <v>2427</v>
      </c>
      <c r="T336" s="130" t="s">
        <v>976</v>
      </c>
      <c r="U336" s="750" t="s">
        <v>1836</v>
      </c>
      <c r="V336" s="882" t="s">
        <v>2464</v>
      </c>
      <c r="W336" s="130" t="s">
        <v>1001</v>
      </c>
      <c r="X336" s="779" t="s">
        <v>1950</v>
      </c>
      <c r="Y336" s="881" t="s">
        <v>1949</v>
      </c>
      <c r="Z336" s="130" t="s">
        <v>1440</v>
      </c>
      <c r="AA336" s="881" t="s">
        <v>2020</v>
      </c>
      <c r="AB336" s="130"/>
      <c r="AC336" s="130"/>
      <c r="AD336" s="315" t="s">
        <v>1005</v>
      </c>
      <c r="AE336" s="315" t="s">
        <v>2031</v>
      </c>
      <c r="AF336" s="165" t="s">
        <v>985</v>
      </c>
      <c r="AG336" s="165"/>
      <c r="AH336" s="165" t="s">
        <v>985</v>
      </c>
      <c r="AI336" s="165"/>
      <c r="AJ336" s="315" t="s">
        <v>985</v>
      </c>
      <c r="AK336" s="315"/>
      <c r="AL336" s="316" t="s">
        <v>985</v>
      </c>
      <c r="AM336" s="314" t="s">
        <v>935</v>
      </c>
      <c r="AN336" s="881" t="s">
        <v>952</v>
      </c>
      <c r="AO336" s="881" t="s">
        <v>1871</v>
      </c>
      <c r="AP336" s="314" t="s">
        <v>952</v>
      </c>
      <c r="AQ336" s="881" t="s">
        <v>1871</v>
      </c>
      <c r="AS336" s="131">
        <v>1565</v>
      </c>
      <c r="AT336" s="132"/>
      <c r="AU336" s="405">
        <v>10</v>
      </c>
      <c r="AV336" s="405" t="s">
        <v>1828</v>
      </c>
      <c r="AW336" s="405">
        <f>VLOOKUP(Таблица7[[#This Row],[Основное оружие]], Оружие[#All], 2, 0)</f>
        <v>0</v>
      </c>
      <c r="AX336" s="405">
        <f>IF(ISBLANK(Таблица7[[#This Row],[Дополнительное оружие]]),"", VLOOKUP(Таблица7[[#This Row],[Дополнительное оружие]], Оружие[#All], 2, 0))</f>
        <v>4</v>
      </c>
      <c r="AY33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3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3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36" s="405">
        <f>VLOOKUP(Таблица7[[#This Row],[Основное оружие]], Оружие[#All], 3, 0)</f>
        <v>1</v>
      </c>
      <c r="BC336" s="405">
        <f>IF(ISBLANK(Таблица7[[#This Row],[Дополнительное оружие]]),"", VLOOKUP(Таблица7[[#This Row],[Дополнительное оружие]], Оружие[#All], 3, 0))</f>
        <v>3</v>
      </c>
      <c r="BD33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33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3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3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3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36" s="405">
        <f>Таблица7[[#This Row],[Броня]]+Таблица7[[#This Row],[Щит]]+Таблица7[[#This Row],[навык защиты]]</f>
        <v>28</v>
      </c>
      <c r="BK336" s="1006"/>
      <c r="BL336" s="1006"/>
      <c r="BM336" s="393"/>
      <c r="BN336" s="99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36" s="393">
        <v>2</v>
      </c>
      <c r="BP336" s="393">
        <v>-2</v>
      </c>
      <c r="BQ336" s="393">
        <v>0</v>
      </c>
      <c r="BR336" s="393">
        <v>-4</v>
      </c>
      <c r="BS336" s="393">
        <v>-2</v>
      </c>
      <c r="BT336" s="393">
        <v>11</v>
      </c>
      <c r="BU336" s="993" t="s">
        <v>1840</v>
      </c>
      <c r="BV336" s="993" t="s">
        <v>1844</v>
      </c>
      <c r="BW336" s="393"/>
      <c r="BX336" s="393"/>
      <c r="BY336" s="393"/>
      <c r="BZ336" s="133"/>
    </row>
    <row r="337" spans="1:78" s="136" customFormat="1" ht="40.5" customHeight="1" x14ac:dyDescent="0.25">
      <c r="A337" s="333">
        <v>336</v>
      </c>
      <c r="B337" s="305" t="s">
        <v>1377</v>
      </c>
      <c r="C337" s="305"/>
      <c r="D337" s="134" t="s">
        <v>1556</v>
      </c>
      <c r="E337" s="134" t="s">
        <v>1546</v>
      </c>
      <c r="F337" s="134"/>
      <c r="G337" s="134"/>
      <c r="H337" s="134"/>
      <c r="I337" s="661">
        <v>1</v>
      </c>
      <c r="J337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37" s="623">
        <f>Таблица7[[#This Row],[Размер отряда минимум]]*1.25</f>
        <v>112.5</v>
      </c>
      <c r="L337" s="623">
        <f>Таблица7[[#This Row],[Размер отряда норма]]*1.5</f>
        <v>168.75</v>
      </c>
      <c r="M337" s="624">
        <f>Таблица7[[#This Row],[Размер отряда минимум]]*2.5</f>
        <v>225</v>
      </c>
      <c r="N337" s="624"/>
      <c r="O337" s="624"/>
      <c r="P337" s="624"/>
      <c r="Q337" s="624"/>
      <c r="R337" s="135" t="s">
        <v>24</v>
      </c>
      <c r="S337" s="967" t="s">
        <v>2894</v>
      </c>
      <c r="T337" s="134" t="s">
        <v>975</v>
      </c>
      <c r="U337" s="188" t="s">
        <v>1019</v>
      </c>
      <c r="V337" s="137"/>
      <c r="W337" s="134" t="s">
        <v>984</v>
      </c>
      <c r="X337" s="353" t="s">
        <v>1036</v>
      </c>
      <c r="Y337" s="353"/>
      <c r="Z337" s="353"/>
      <c r="AA337" s="353"/>
      <c r="AB337" s="419" t="s">
        <v>1458</v>
      </c>
      <c r="AC337" s="419"/>
      <c r="AD337" s="188" t="s">
        <v>985</v>
      </c>
      <c r="AE337" s="188"/>
      <c r="AF337" s="134" t="s">
        <v>985</v>
      </c>
      <c r="AG337" s="134"/>
      <c r="AH337" s="134" t="s">
        <v>985</v>
      </c>
      <c r="AI337" s="134"/>
      <c r="AJ337" s="188" t="s">
        <v>985</v>
      </c>
      <c r="AK337" s="188"/>
      <c r="AL337" s="208" t="s">
        <v>985</v>
      </c>
      <c r="AM337" s="134" t="s">
        <v>935</v>
      </c>
      <c r="AN337" s="134" t="s">
        <v>955</v>
      </c>
      <c r="AO337" s="134"/>
      <c r="AP337" s="134" t="s">
        <v>1119</v>
      </c>
      <c r="AQ337" s="134"/>
      <c r="AS337" s="136">
        <v>1500</v>
      </c>
      <c r="AT337" s="138">
        <v>1550</v>
      </c>
      <c r="AU337" s="405">
        <v>1</v>
      </c>
      <c r="AV337" s="405"/>
      <c r="AW337" s="405">
        <f>VLOOKUP(Таблица7[[#This Row],[Основное оружие]], Оружие[#All], 2, 0)</f>
        <v>5</v>
      </c>
      <c r="AX337" s="405" t="str">
        <f>IF(ISBLANK(Таблица7[[#This Row],[Дополнительное оружие]]),"", VLOOKUP(Таблица7[[#This Row],[Дополнительное оружие]], Оружие[#All], 2, 0))</f>
        <v/>
      </c>
      <c r="AY33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3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33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37" s="405">
        <f>VLOOKUP(Таблица7[[#This Row],[Основное оружие]], Оружие[#All], 3, 0)</f>
        <v>3</v>
      </c>
      <c r="BC337" s="405" t="str">
        <f>IF(ISBLANK(Таблица7[[#This Row],[Дополнительное оружие]]),"", VLOOKUP(Таблица7[[#This Row],[Дополнительное оружие]], Оружие[#All], 3, 0))</f>
        <v/>
      </c>
      <c r="BD33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3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3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3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3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2</v>
      </c>
      <c r="BJ337" s="405">
        <f>Таблица7[[#This Row],[Броня]]+Таблица7[[#This Row],[Щит]]+Таблица7[[#This Row],[навык защиты]]</f>
        <v>5</v>
      </c>
      <c r="BK337" s="1006"/>
      <c r="BL337" s="1006"/>
      <c r="BM337" s="394"/>
      <c r="BN337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37" s="394">
        <v>3</v>
      </c>
      <c r="BP337" s="394">
        <v>1</v>
      </c>
      <c r="BQ337" s="394">
        <v>-2</v>
      </c>
      <c r="BR337" s="394">
        <v>2</v>
      </c>
      <c r="BS337" s="394">
        <v>2</v>
      </c>
      <c r="BT337" s="394">
        <v>2</v>
      </c>
      <c r="BU337" s="994" t="s">
        <v>1839</v>
      </c>
      <c r="BV337" s="994" t="s">
        <v>1842</v>
      </c>
      <c r="BW337" s="394"/>
      <c r="BX337" s="394"/>
      <c r="BY337" s="394"/>
      <c r="BZ337" s="139"/>
    </row>
    <row r="338" spans="1:78" s="136" customFormat="1" ht="40.5" customHeight="1" x14ac:dyDescent="0.25">
      <c r="A338" s="333">
        <v>337</v>
      </c>
      <c r="B338" s="134" t="s">
        <v>1523</v>
      </c>
      <c r="C338" s="134"/>
      <c r="D338" s="134" t="s">
        <v>1556</v>
      </c>
      <c r="E338" s="134" t="s">
        <v>1546</v>
      </c>
      <c r="F338" s="134"/>
      <c r="G338" s="134"/>
      <c r="H338" s="134"/>
      <c r="I338" s="661">
        <v>0.75</v>
      </c>
      <c r="J338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338" s="623">
        <f>Таблица7[[#This Row],[Размер отряда минимум]]*1.25</f>
        <v>84.375</v>
      </c>
      <c r="L338" s="623">
        <f>Таблица7[[#This Row],[Размер отряда норма]]*1.5</f>
        <v>126.5625</v>
      </c>
      <c r="M338" s="624">
        <f>Таблица7[[#This Row],[Размер отряда минимум]]*2.5</f>
        <v>168.75</v>
      </c>
      <c r="N338" s="624"/>
      <c r="O338" s="624"/>
      <c r="P338" s="624"/>
      <c r="Q338" s="624"/>
      <c r="R338" s="135" t="s">
        <v>24</v>
      </c>
      <c r="S338" s="967" t="s">
        <v>2894</v>
      </c>
      <c r="T338" s="134" t="s">
        <v>975</v>
      </c>
      <c r="U338" s="188" t="s">
        <v>1035</v>
      </c>
      <c r="V338" s="137"/>
      <c r="W338" s="134" t="s">
        <v>984</v>
      </c>
      <c r="X338" s="353" t="s">
        <v>1020</v>
      </c>
      <c r="Y338" s="353"/>
      <c r="Z338" s="353"/>
      <c r="AA338" s="353"/>
      <c r="AB338" s="353" t="s">
        <v>1458</v>
      </c>
      <c r="AC338" s="353"/>
      <c r="AD338" s="188" t="s">
        <v>985</v>
      </c>
      <c r="AE338" s="188"/>
      <c r="AF338" s="134" t="s">
        <v>991</v>
      </c>
      <c r="AG338" s="134"/>
      <c r="AH338" s="134" t="s">
        <v>985</v>
      </c>
      <c r="AI338" s="134"/>
      <c r="AJ338" s="188" t="s">
        <v>985</v>
      </c>
      <c r="AK338" s="188"/>
      <c r="AL338" s="208" t="s">
        <v>985</v>
      </c>
      <c r="AM338" s="134" t="s">
        <v>978</v>
      </c>
      <c r="AN338" s="134" t="s">
        <v>1023</v>
      </c>
      <c r="AO338" s="134"/>
      <c r="AP338" s="134" t="s">
        <v>1119</v>
      </c>
      <c r="AQ338" s="134"/>
      <c r="AS338" s="136">
        <v>1500</v>
      </c>
      <c r="AT338" s="138">
        <v>1550</v>
      </c>
      <c r="AU338" s="405">
        <v>4</v>
      </c>
      <c r="AV338" s="405"/>
      <c r="AW338" s="405">
        <f>VLOOKUP(Таблица7[[#This Row],[Основное оружие]], Оружие[#All], 2, 0)</f>
        <v>2</v>
      </c>
      <c r="AX338" s="405" t="str">
        <f>IF(ISBLANK(Таблица7[[#This Row],[Дополнительное оружие]]),"", VLOOKUP(Таблица7[[#This Row],[Дополнительное оружие]], Оружие[#All], 2, 0))</f>
        <v/>
      </c>
      <c r="AY33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0)+1</f>
        <v>7</v>
      </c>
      <c r="AZ33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33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38" s="405">
        <f>VLOOKUP(Таблица7[[#This Row],[Основное оружие]], Оружие[#All], 3, 0)+2</f>
        <v>5</v>
      </c>
      <c r="BC338" s="405" t="str">
        <f>IF(ISBLANK(Таблица7[[#This Row],[Дополнительное оружие]]),"", VLOOKUP(Таблица7[[#This Row],[Дополнительное оружие]], Оружие[#All], 3, 0))</f>
        <v/>
      </c>
      <c r="BD33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3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3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3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0)-1</f>
        <v>4</v>
      </c>
      <c r="BI33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2</v>
      </c>
      <c r="BJ338" s="405">
        <f>Таблица7[[#This Row],[Броня]]+Таблица7[[#This Row],[Щит]]+Таблица7[[#This Row],[навык защиты]]</f>
        <v>7</v>
      </c>
      <c r="BK338" s="1008" t="s">
        <v>1588</v>
      </c>
      <c r="BL338" s="1008" t="s">
        <v>1584</v>
      </c>
      <c r="BM338" s="394"/>
      <c r="BN338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38" s="394">
        <v>3</v>
      </c>
      <c r="BP338" s="394">
        <v>1</v>
      </c>
      <c r="BQ338" s="394">
        <v>-2</v>
      </c>
      <c r="BR338" s="394">
        <v>2</v>
      </c>
      <c r="BS338" s="394">
        <v>2</v>
      </c>
      <c r="BT338" s="394">
        <v>8</v>
      </c>
      <c r="BU338" s="994" t="s">
        <v>1841</v>
      </c>
      <c r="BV338" s="994" t="s">
        <v>1842</v>
      </c>
      <c r="BW338" s="394"/>
      <c r="BX338" s="394"/>
      <c r="BY338" s="394"/>
      <c r="BZ338" s="139"/>
    </row>
    <row r="339" spans="1:78" s="136" customFormat="1" ht="40.5" customHeight="1" x14ac:dyDescent="0.25">
      <c r="A339" s="333">
        <v>338</v>
      </c>
      <c r="B339" s="134" t="s">
        <v>1522</v>
      </c>
      <c r="C339" s="134"/>
      <c r="D339" s="134" t="s">
        <v>1556</v>
      </c>
      <c r="E339" s="134" t="s">
        <v>1546</v>
      </c>
      <c r="F339" s="134"/>
      <c r="G339" s="134"/>
      <c r="H339" s="134"/>
      <c r="I339" s="661">
        <v>0.75</v>
      </c>
      <c r="J339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39" s="623">
        <f>Таблица7[[#This Row],[Размер отряда минимум]]*1.25</f>
        <v>93.75</v>
      </c>
      <c r="L339" s="623">
        <f>Таблица7[[#This Row],[Размер отряда норма]]*1.5</f>
        <v>140.625</v>
      </c>
      <c r="M339" s="624">
        <f>Таблица7[[#This Row],[Размер отряда минимум]]*2.5</f>
        <v>187.5</v>
      </c>
      <c r="N339" s="624"/>
      <c r="O339" s="624"/>
      <c r="P339" s="624"/>
      <c r="Q339" s="624"/>
      <c r="R339" s="135" t="s">
        <v>24</v>
      </c>
      <c r="S339" s="967" t="s">
        <v>2894</v>
      </c>
      <c r="T339" s="134" t="s">
        <v>976</v>
      </c>
      <c r="U339" s="188" t="s">
        <v>1035</v>
      </c>
      <c r="V339" s="137"/>
      <c r="W339" s="134" t="s">
        <v>984</v>
      </c>
      <c r="X339" s="436" t="s">
        <v>1063</v>
      </c>
      <c r="Y339" s="436"/>
      <c r="Z339" s="134"/>
      <c r="AA339" s="134"/>
      <c r="AB339" s="134"/>
      <c r="AC339" s="134"/>
      <c r="AD339" s="188" t="s">
        <v>985</v>
      </c>
      <c r="AE339" s="188"/>
      <c r="AF339" s="134" t="s">
        <v>991</v>
      </c>
      <c r="AG339" s="134"/>
      <c r="AH339" s="134" t="s">
        <v>985</v>
      </c>
      <c r="AI339" s="134"/>
      <c r="AJ339" s="188" t="s">
        <v>985</v>
      </c>
      <c r="AK339" s="188"/>
      <c r="AL339" s="208" t="s">
        <v>985</v>
      </c>
      <c r="AM339" s="134" t="s">
        <v>978</v>
      </c>
      <c r="AN339" s="134" t="s">
        <v>1023</v>
      </c>
      <c r="AO339" s="134"/>
      <c r="AP339" s="134" t="s">
        <v>1119</v>
      </c>
      <c r="AQ339" s="134"/>
      <c r="AS339" s="136">
        <v>1550</v>
      </c>
      <c r="AT339" s="138"/>
      <c r="AU339" s="405">
        <v>4</v>
      </c>
      <c r="AV339" s="405"/>
      <c r="AW339" s="405">
        <f>VLOOKUP(Таблица7[[#This Row],[Основное оружие]], Оружие[#All], 2, 0)</f>
        <v>5</v>
      </c>
      <c r="AX339" s="405" t="str">
        <f>IF(ISBLANK(Таблица7[[#This Row],[Дополнительное оружие]]),"", VLOOKUP(Таблица7[[#This Row],[Дополнительное оружие]], Оружие[#All], 2, 0))</f>
        <v/>
      </c>
      <c r="AY33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0)+1</f>
        <v>7</v>
      </c>
      <c r="AZ33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33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39" s="405">
        <f>VLOOKUP(Таблица7[[#This Row],[Основное оружие]], Оружие[#All], 3, 0)</f>
        <v>8</v>
      </c>
      <c r="BC339" s="405" t="str">
        <f>IF(ISBLANK(Таблица7[[#This Row],[Дополнительное оружие]]),"", VLOOKUP(Таблица7[[#This Row],[Дополнительное оружие]], Оружие[#All], 3, 0))</f>
        <v/>
      </c>
      <c r="BD33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3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3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3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3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0)-1</f>
        <v>4</v>
      </c>
      <c r="BI33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39" s="405">
        <f>Таблица7[[#This Row],[Броня]]+Таблица7[[#This Row],[Щит]]+Таблица7[[#This Row],[навык защиты]]</f>
        <v>5</v>
      </c>
      <c r="BK339" s="1006"/>
      <c r="BL339" s="1008" t="s">
        <v>1584</v>
      </c>
      <c r="BM339" s="394"/>
      <c r="BN339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39" s="394">
        <v>3</v>
      </c>
      <c r="BP339" s="394">
        <v>0</v>
      </c>
      <c r="BQ339" s="394">
        <v>-2</v>
      </c>
      <c r="BR339" s="394">
        <v>0</v>
      </c>
      <c r="BS339" s="394">
        <v>2</v>
      </c>
      <c r="BT339" s="394">
        <v>8</v>
      </c>
      <c r="BU339" s="994" t="s">
        <v>1841</v>
      </c>
      <c r="BV339" s="994" t="s">
        <v>1842</v>
      </c>
      <c r="BW339" s="394"/>
      <c r="BX339" s="394"/>
      <c r="BY339" s="394"/>
      <c r="BZ339" s="139"/>
    </row>
    <row r="340" spans="1:78" s="136" customFormat="1" ht="40.5" customHeight="1" x14ac:dyDescent="0.25">
      <c r="A340" s="333">
        <v>339</v>
      </c>
      <c r="B340" s="134" t="s">
        <v>1120</v>
      </c>
      <c r="C340" s="134"/>
      <c r="D340" s="134" t="s">
        <v>1556</v>
      </c>
      <c r="E340" s="134" t="s">
        <v>1560</v>
      </c>
      <c r="F340" s="134"/>
      <c r="G340" s="134"/>
      <c r="H340" s="134"/>
      <c r="I340" s="661">
        <v>0.8</v>
      </c>
      <c r="J340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72</v>
      </c>
      <c r="K340" s="623">
        <f>Таблица7[[#This Row],[Размер отряда минимум]]*1.25</f>
        <v>90</v>
      </c>
      <c r="L340" s="623">
        <f>Таблица7[[#This Row],[Размер отряда норма]]*1.5</f>
        <v>135</v>
      </c>
      <c r="M340" s="624">
        <f>Таблица7[[#This Row],[Размер отряда минимум]]*2.5</f>
        <v>180</v>
      </c>
      <c r="N340" s="624"/>
      <c r="O340" s="624"/>
      <c r="P340" s="624"/>
      <c r="Q340" s="624"/>
      <c r="R340" s="135" t="s">
        <v>24</v>
      </c>
      <c r="S340" s="967" t="s">
        <v>2894</v>
      </c>
      <c r="T340" s="134" t="s">
        <v>975</v>
      </c>
      <c r="U340" s="188" t="s">
        <v>1035</v>
      </c>
      <c r="V340" s="137"/>
      <c r="W340" s="134" t="s">
        <v>993</v>
      </c>
      <c r="X340" s="134" t="s">
        <v>994</v>
      </c>
      <c r="Y340" s="134"/>
      <c r="Z340" s="134"/>
      <c r="AA340" s="134"/>
      <c r="AB340" s="134"/>
      <c r="AC340" s="134"/>
      <c r="AD340" s="188" t="s">
        <v>985</v>
      </c>
      <c r="AE340" s="188"/>
      <c r="AF340" s="134" t="s">
        <v>991</v>
      </c>
      <c r="AG340" s="134"/>
      <c r="AH340" s="134" t="s">
        <v>985</v>
      </c>
      <c r="AI340" s="134"/>
      <c r="AJ340" s="188" t="s">
        <v>985</v>
      </c>
      <c r="AK340" s="188"/>
      <c r="AL340" s="208" t="s">
        <v>985</v>
      </c>
      <c r="AM340" s="134" t="s">
        <v>978</v>
      </c>
      <c r="AN340" s="134" t="s">
        <v>1023</v>
      </c>
      <c r="AO340" s="134"/>
      <c r="AP340" s="134" t="s">
        <v>1119</v>
      </c>
      <c r="AQ340" s="134"/>
      <c r="AS340" s="136">
        <v>1500</v>
      </c>
      <c r="AT340" s="138">
        <v>1550</v>
      </c>
      <c r="AU340" s="444">
        <v>4</v>
      </c>
      <c r="AV340" s="405"/>
      <c r="AW340" s="405">
        <f>VLOOKUP(Таблица7[[#This Row],[Основное оружие]], Оружие[#All], 2, 0)</f>
        <v>1</v>
      </c>
      <c r="AX340" s="405" t="str">
        <f>IF(ISBLANK(Таблица7[[#This Row],[Дополнительное оружие]]),"", VLOOKUP(Таблица7[[#This Row],[Дополнительное оружие]], Оружие[#All], 2, 0))</f>
        <v/>
      </c>
      <c r="AY34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0)-1</f>
        <v>3</v>
      </c>
      <c r="AZ34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340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40" s="405">
        <f>VLOOKUP(Таблица7[[#This Row],[Основное оружие]], Оружие[#All], 3, 0)</f>
        <v>1</v>
      </c>
      <c r="BC340" s="405" t="str">
        <f>IF(ISBLANK(Таблица7[[#This Row],[Дополнительное оружие]]),"", VLOOKUP(Таблица7[[#This Row],[Дополнительное оружие]], Оружие[#All], 3, 0))</f>
        <v/>
      </c>
      <c r="BD34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4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4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4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4</v>
      </c>
      <c r="BI34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40" s="405">
        <f>Таблица7[[#This Row],[Броня]]+Таблица7[[#This Row],[Щит]]+Таблица7[[#This Row],[навык защиты]]</f>
        <v>5</v>
      </c>
      <c r="BK340" s="1006"/>
      <c r="BL340" s="1009" t="s">
        <v>1586</v>
      </c>
      <c r="BM340" s="394"/>
      <c r="BN340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40" s="394">
        <v>3</v>
      </c>
      <c r="BP340" s="394">
        <v>-1</v>
      </c>
      <c r="BQ340" s="394">
        <v>-2</v>
      </c>
      <c r="BR340" s="394">
        <v>-2</v>
      </c>
      <c r="BS340" s="394">
        <v>2</v>
      </c>
      <c r="BT340" s="394">
        <v>8</v>
      </c>
      <c r="BU340" s="994" t="s">
        <v>1576</v>
      </c>
      <c r="BV340" s="994" t="s">
        <v>1843</v>
      </c>
      <c r="BW340" s="394"/>
      <c r="BX340" s="394"/>
      <c r="BY340" s="394"/>
      <c r="BZ340" s="139"/>
    </row>
    <row r="341" spans="1:78" s="136" customFormat="1" ht="40.5" customHeight="1" x14ac:dyDescent="0.25">
      <c r="A341" s="333">
        <v>340</v>
      </c>
      <c r="B341" s="134" t="s">
        <v>1120</v>
      </c>
      <c r="C341" s="134"/>
      <c r="D341" s="134" t="s">
        <v>1556</v>
      </c>
      <c r="E341" s="134" t="s">
        <v>1560</v>
      </c>
      <c r="F341" s="134"/>
      <c r="G341" s="134"/>
      <c r="H341" s="134"/>
      <c r="I341" s="661">
        <v>0.8</v>
      </c>
      <c r="J341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341" s="623">
        <f>Таблица7[[#This Row],[Размер отряда минимум]]*1.25</f>
        <v>100</v>
      </c>
      <c r="L341" s="623">
        <f>Таблица7[[#This Row],[Размер отряда норма]]*1.5</f>
        <v>150</v>
      </c>
      <c r="M341" s="624">
        <f>Таблица7[[#This Row],[Размер отряда минимум]]*2.5</f>
        <v>200</v>
      </c>
      <c r="N341" s="624"/>
      <c r="O341" s="624"/>
      <c r="P341" s="624"/>
      <c r="Q341" s="624"/>
      <c r="R341" s="135" t="s">
        <v>24</v>
      </c>
      <c r="S341" s="967" t="s">
        <v>2894</v>
      </c>
      <c r="T341" s="134" t="s">
        <v>976</v>
      </c>
      <c r="U341" s="188" t="s">
        <v>1035</v>
      </c>
      <c r="V341" s="137"/>
      <c r="W341" s="134" t="s">
        <v>993</v>
      </c>
      <c r="X341" s="134" t="s">
        <v>994</v>
      </c>
      <c r="Y341" s="134"/>
      <c r="Z341" s="134"/>
      <c r="AA341" s="134"/>
      <c r="AB341" s="134"/>
      <c r="AC341" s="134"/>
      <c r="AD341" s="188" t="s">
        <v>985</v>
      </c>
      <c r="AE341" s="188"/>
      <c r="AF341" s="134" t="s">
        <v>991</v>
      </c>
      <c r="AG341" s="134"/>
      <c r="AH341" s="134" t="s">
        <v>985</v>
      </c>
      <c r="AI341" s="134"/>
      <c r="AJ341" s="188" t="s">
        <v>985</v>
      </c>
      <c r="AK341" s="188"/>
      <c r="AL341" s="208" t="s">
        <v>985</v>
      </c>
      <c r="AM341" s="134" t="s">
        <v>978</v>
      </c>
      <c r="AN341" s="134" t="s">
        <v>1023</v>
      </c>
      <c r="AO341" s="134"/>
      <c r="AP341" s="134" t="s">
        <v>1119</v>
      </c>
      <c r="AQ341" s="134"/>
      <c r="AS341" s="136">
        <v>1550</v>
      </c>
      <c r="AT341" s="138"/>
      <c r="AU341" s="444">
        <v>4</v>
      </c>
      <c r="AV341" s="405"/>
      <c r="AW341" s="405">
        <f>VLOOKUP(Таблица7[[#This Row],[Основное оружие]], Оружие[#All], 2, 0)</f>
        <v>1</v>
      </c>
      <c r="AX341" s="405" t="str">
        <f>IF(ISBLANK(Таблица7[[#This Row],[Дополнительное оружие]]),"", VLOOKUP(Таблица7[[#This Row],[Дополнительное оружие]], Оружие[#All], 2, 0))</f>
        <v/>
      </c>
      <c r="AY34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0)-1</f>
        <v>3</v>
      </c>
      <c r="AZ34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341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41" s="405">
        <f>VLOOKUP(Таблица7[[#This Row],[Основное оружие]], Оружие[#All], 3, 0)</f>
        <v>1</v>
      </c>
      <c r="BC341" s="405" t="str">
        <f>IF(ISBLANK(Таблица7[[#This Row],[Дополнительное оружие]]),"", VLOOKUP(Таблица7[[#This Row],[Дополнительное оружие]], Оружие[#All], 3, 0))</f>
        <v/>
      </c>
      <c r="BD34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4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4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4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4</v>
      </c>
      <c r="BI34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41" s="405">
        <f>Таблица7[[#This Row],[Броня]]+Таблица7[[#This Row],[Щит]]+Таблица7[[#This Row],[навык защиты]]</f>
        <v>5</v>
      </c>
      <c r="BK341" s="1006"/>
      <c r="BL341" s="1008" t="s">
        <v>1586</v>
      </c>
      <c r="BM341" s="394"/>
      <c r="BN341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41" s="394">
        <v>3</v>
      </c>
      <c r="BP341" s="394">
        <v>-1</v>
      </c>
      <c r="BQ341" s="394">
        <v>-2</v>
      </c>
      <c r="BR341" s="394">
        <v>-2</v>
      </c>
      <c r="BS341" s="394">
        <v>2</v>
      </c>
      <c r="BT341" s="394">
        <v>8</v>
      </c>
      <c r="BU341" s="994" t="s">
        <v>1576</v>
      </c>
      <c r="BV341" s="994" t="s">
        <v>1843</v>
      </c>
      <c r="BW341" s="394"/>
      <c r="BX341" s="394"/>
      <c r="BY341" s="394"/>
      <c r="BZ341" s="139"/>
    </row>
    <row r="342" spans="1:78" s="136" customFormat="1" ht="40.5" customHeight="1" x14ac:dyDescent="0.25">
      <c r="A342" s="333">
        <v>341</v>
      </c>
      <c r="B342" s="305" t="s">
        <v>1517</v>
      </c>
      <c r="C342" s="305"/>
      <c r="D342" s="134" t="s">
        <v>1556</v>
      </c>
      <c r="E342" s="134" t="s">
        <v>1546</v>
      </c>
      <c r="F342" s="134"/>
      <c r="G342" s="134"/>
      <c r="H342" s="134"/>
      <c r="I342" s="661">
        <v>0.75</v>
      </c>
      <c r="J342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342" s="623">
        <f>Таблица7[[#This Row],[Размер отряда минимум]]*1.25</f>
        <v>84.375</v>
      </c>
      <c r="L342" s="623">
        <f>Таблица7[[#This Row],[Размер отряда норма]]*1.5</f>
        <v>126.5625</v>
      </c>
      <c r="M342" s="624">
        <f>Таблица7[[#This Row],[Размер отряда минимум]]*2.5</f>
        <v>168.75</v>
      </c>
      <c r="N342" s="624"/>
      <c r="O342" s="624"/>
      <c r="P342" s="624"/>
      <c r="Q342" s="624"/>
      <c r="R342" s="135" t="s">
        <v>24</v>
      </c>
      <c r="S342" s="967" t="s">
        <v>2894</v>
      </c>
      <c r="T342" s="134" t="s">
        <v>975</v>
      </c>
      <c r="U342" s="188" t="s">
        <v>1035</v>
      </c>
      <c r="V342" s="137"/>
      <c r="W342" s="134" t="s">
        <v>1001</v>
      </c>
      <c r="X342" s="342" t="s">
        <v>1036</v>
      </c>
      <c r="Y342" s="342"/>
      <c r="Z342" s="342"/>
      <c r="AA342" s="342"/>
      <c r="AB342" s="342" t="s">
        <v>944</v>
      </c>
      <c r="AC342" s="342"/>
      <c r="AD342" s="188" t="s">
        <v>1155</v>
      </c>
      <c r="AE342" s="188"/>
      <c r="AF342" s="360" t="s">
        <v>1484</v>
      </c>
      <c r="AG342" s="360"/>
      <c r="AH342" s="134" t="s">
        <v>985</v>
      </c>
      <c r="AI342" s="134"/>
      <c r="AJ342" s="188" t="s">
        <v>985</v>
      </c>
      <c r="AK342" s="188"/>
      <c r="AL342" s="208" t="s">
        <v>985</v>
      </c>
      <c r="AM342" s="134" t="s">
        <v>978</v>
      </c>
      <c r="AN342" s="134" t="s">
        <v>1023</v>
      </c>
      <c r="AO342" s="134"/>
      <c r="AP342" s="134" t="s">
        <v>1119</v>
      </c>
      <c r="AQ342" s="134"/>
      <c r="AS342" s="136">
        <v>1500</v>
      </c>
      <c r="AT342" s="138">
        <v>1550</v>
      </c>
      <c r="AU342" s="405">
        <v>4</v>
      </c>
      <c r="AV342" s="405"/>
      <c r="AW342" s="405">
        <f>VLOOKUP(Таблица7[[#This Row],[Основное оружие]], Оружие[#All], 2, 0)</f>
        <v>5</v>
      </c>
      <c r="AX342" s="405" t="str">
        <f>IF(ISBLANK(Таблица7[[#This Row],[Дополнительное оружие]]),"", VLOOKUP(Таблица7[[#This Row],[Дополнительное оружие]], Оружие[#All], 2, 0))</f>
        <v/>
      </c>
      <c r="AY34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0)-1</f>
        <v>5</v>
      </c>
      <c r="AZ34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4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42" s="405">
        <f>VLOOKUP(Таблица7[[#This Row],[Основное оружие]], Оружие[#All], 3, 0)+2</f>
        <v>5</v>
      </c>
      <c r="BC342" s="405" t="str">
        <f>IF(ISBLANK(Таблица7[[#This Row],[Дополнительное оружие]]),"", VLOOKUP(Таблица7[[#This Row],[Дополнительное оружие]], Оружие[#All], 3, 0))</f>
        <v/>
      </c>
      <c r="BD34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4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3</v>
      </c>
      <c r="BF34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4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6</v>
      </c>
      <c r="BI34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342" s="405">
        <f>Таблица7[[#This Row],[Броня]]+Таблица7[[#This Row],[Щит]]+Таблица7[[#This Row],[навык защиты]]</f>
        <v>12</v>
      </c>
      <c r="BK342" s="1008" t="s">
        <v>1588</v>
      </c>
      <c r="BL342" s="1008" t="s">
        <v>1586</v>
      </c>
      <c r="BM342" s="394"/>
      <c r="BN342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42" s="394">
        <v>3</v>
      </c>
      <c r="BP342" s="394">
        <v>1</v>
      </c>
      <c r="BQ342" s="394">
        <v>-2</v>
      </c>
      <c r="BR342" s="394">
        <v>2</v>
      </c>
      <c r="BS342" s="394">
        <v>2</v>
      </c>
      <c r="BT342" s="394">
        <v>8</v>
      </c>
      <c r="BU342" s="994" t="s">
        <v>1576</v>
      </c>
      <c r="BV342" s="994" t="s">
        <v>1842</v>
      </c>
      <c r="BW342" s="394"/>
      <c r="BX342" s="394"/>
      <c r="BY342" s="394"/>
      <c r="BZ342" s="139"/>
    </row>
    <row r="343" spans="1:78" s="136" customFormat="1" ht="40.5" customHeight="1" x14ac:dyDescent="0.25">
      <c r="A343" s="333">
        <v>342</v>
      </c>
      <c r="B343" s="305" t="s">
        <v>1517</v>
      </c>
      <c r="C343" s="305"/>
      <c r="D343" s="134" t="s">
        <v>1556</v>
      </c>
      <c r="E343" s="134" t="s">
        <v>1546</v>
      </c>
      <c r="F343" s="134"/>
      <c r="G343" s="134"/>
      <c r="H343" s="134"/>
      <c r="I343" s="661">
        <v>0.75</v>
      </c>
      <c r="J343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43" s="623">
        <f>Таблица7[[#This Row],[Размер отряда минимум]]*1.25</f>
        <v>93.75</v>
      </c>
      <c r="L343" s="623">
        <f>Таблица7[[#This Row],[Размер отряда норма]]*1.5</f>
        <v>140.625</v>
      </c>
      <c r="M343" s="624">
        <f>Таблица7[[#This Row],[Размер отряда минимум]]*2.5</f>
        <v>187.5</v>
      </c>
      <c r="N343" s="624"/>
      <c r="O343" s="624"/>
      <c r="P343" s="624"/>
      <c r="Q343" s="624"/>
      <c r="R343" s="135" t="s">
        <v>24</v>
      </c>
      <c r="S343" s="967" t="s">
        <v>2894</v>
      </c>
      <c r="T343" s="134" t="s">
        <v>976</v>
      </c>
      <c r="U343" s="188" t="s">
        <v>1035</v>
      </c>
      <c r="V343" s="137"/>
      <c r="W343" s="188" t="s">
        <v>1001</v>
      </c>
      <c r="X343" s="236" t="s">
        <v>1036</v>
      </c>
      <c r="Y343" s="236"/>
      <c r="Z343" s="236"/>
      <c r="AA343" s="236"/>
      <c r="AB343" s="236" t="s">
        <v>944</v>
      </c>
      <c r="AC343" s="236"/>
      <c r="AD343" s="188" t="s">
        <v>1155</v>
      </c>
      <c r="AE343" s="188"/>
      <c r="AF343" s="134" t="s">
        <v>1484</v>
      </c>
      <c r="AG343" s="134"/>
      <c r="AH343" s="134" t="s">
        <v>985</v>
      </c>
      <c r="AI343" s="134"/>
      <c r="AJ343" s="188" t="s">
        <v>985</v>
      </c>
      <c r="AK343" s="188"/>
      <c r="AL343" s="208" t="s">
        <v>985</v>
      </c>
      <c r="AM343" s="134" t="s">
        <v>978</v>
      </c>
      <c r="AN343" s="134" t="s">
        <v>1023</v>
      </c>
      <c r="AO343" s="134"/>
      <c r="AP343" s="134" t="s">
        <v>1119</v>
      </c>
      <c r="AQ343" s="134"/>
      <c r="AS343" s="136">
        <v>1550</v>
      </c>
      <c r="AT343" s="138"/>
      <c r="AU343" s="405">
        <v>4</v>
      </c>
      <c r="AV343" s="405"/>
      <c r="AW343" s="405">
        <f>VLOOKUP(Таблица7[[#This Row],[Основное оружие]], Оружие[#All], 2, 0)</f>
        <v>5</v>
      </c>
      <c r="AX343" s="405" t="str">
        <f>IF(ISBLANK(Таблица7[[#This Row],[Дополнительное оружие]]),"", VLOOKUP(Таблица7[[#This Row],[Дополнительное оружие]], Оружие[#All], 2, 0))</f>
        <v/>
      </c>
      <c r="AY34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0)-1</f>
        <v>5</v>
      </c>
      <c r="AZ34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4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43" s="405">
        <f>VLOOKUP(Таблица7[[#This Row],[Основное оружие]], Оружие[#All], 3, 0)+2</f>
        <v>5</v>
      </c>
      <c r="BC343" s="405" t="str">
        <f>IF(ISBLANK(Таблица7[[#This Row],[Дополнительное оружие]]),"", VLOOKUP(Таблица7[[#This Row],[Дополнительное оружие]], Оружие[#All], 3, 0))</f>
        <v/>
      </c>
      <c r="BD34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4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3</v>
      </c>
      <c r="BF34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4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6</v>
      </c>
      <c r="BI34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343" s="405">
        <f>Таблица7[[#This Row],[Броня]]+Таблица7[[#This Row],[Щит]]+Таблица7[[#This Row],[навык защиты]]</f>
        <v>12</v>
      </c>
      <c r="BK343" s="1008" t="s">
        <v>1588</v>
      </c>
      <c r="BL343" s="1008" t="s">
        <v>1586</v>
      </c>
      <c r="BM343" s="394"/>
      <c r="BN343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43" s="394">
        <v>3</v>
      </c>
      <c r="BP343" s="394">
        <v>1</v>
      </c>
      <c r="BQ343" s="394">
        <v>-2</v>
      </c>
      <c r="BR343" s="394">
        <v>2</v>
      </c>
      <c r="BS343" s="394">
        <v>2</v>
      </c>
      <c r="BT343" s="394">
        <v>8</v>
      </c>
      <c r="BU343" s="994" t="s">
        <v>1576</v>
      </c>
      <c r="BV343" s="994" t="s">
        <v>1842</v>
      </c>
      <c r="BW343" s="394"/>
      <c r="BX343" s="394"/>
      <c r="BY343" s="394"/>
      <c r="BZ343" s="139"/>
    </row>
    <row r="344" spans="1:78" s="136" customFormat="1" ht="40.5" customHeight="1" x14ac:dyDescent="0.25">
      <c r="A344" s="333">
        <v>343</v>
      </c>
      <c r="B344" s="305" t="s">
        <v>1378</v>
      </c>
      <c r="C344" s="305"/>
      <c r="D344" s="134" t="s">
        <v>1556</v>
      </c>
      <c r="E344" s="134" t="s">
        <v>1562</v>
      </c>
      <c r="F344" s="134"/>
      <c r="G344" s="134"/>
      <c r="H344" s="134"/>
      <c r="I344" s="661">
        <v>0.5</v>
      </c>
      <c r="J344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344" s="623">
        <f>Таблица7[[#This Row],[Размер отряда минимум]]*1.25</f>
        <v>50</v>
      </c>
      <c r="L344" s="623">
        <f>Таблица7[[#This Row],[Размер отряда норма]]*1.5</f>
        <v>75</v>
      </c>
      <c r="M344" s="624">
        <f>Таблица7[[#This Row],[Размер отряда минимум]]*2.5</f>
        <v>100</v>
      </c>
      <c r="N344" s="624"/>
      <c r="O344" s="624"/>
      <c r="P344" s="624"/>
      <c r="Q344" s="624"/>
      <c r="R344" s="135" t="s">
        <v>24</v>
      </c>
      <c r="S344" s="967" t="s">
        <v>2894</v>
      </c>
      <c r="T344" s="134" t="s">
        <v>975</v>
      </c>
      <c r="U344" s="188" t="s">
        <v>1121</v>
      </c>
      <c r="V344" s="137"/>
      <c r="W344" s="134" t="s">
        <v>993</v>
      </c>
      <c r="X344" s="134" t="s">
        <v>994</v>
      </c>
      <c r="Y344" s="134"/>
      <c r="Z344" s="134"/>
      <c r="AA344" s="134"/>
      <c r="AB344" s="134"/>
      <c r="AC344" s="134"/>
      <c r="AD344" s="188" t="s">
        <v>1482</v>
      </c>
      <c r="AE344" s="188"/>
      <c r="AF344" s="134" t="s">
        <v>1481</v>
      </c>
      <c r="AG344" s="134"/>
      <c r="AH344" s="134" t="s">
        <v>985</v>
      </c>
      <c r="AI344" s="134"/>
      <c r="AJ344" s="134" t="s">
        <v>1004</v>
      </c>
      <c r="AK344" s="134"/>
      <c r="AL344" s="208" t="s">
        <v>985</v>
      </c>
      <c r="AM344" s="933" t="s">
        <v>935</v>
      </c>
      <c r="AN344" s="134" t="s">
        <v>1105</v>
      </c>
      <c r="AO344" s="134"/>
      <c r="AP344" s="134" t="s">
        <v>1122</v>
      </c>
      <c r="AQ344" s="134"/>
      <c r="AR344" s="134"/>
      <c r="AS344" s="134">
        <v>1500</v>
      </c>
      <c r="AT344" s="137">
        <v>1550</v>
      </c>
      <c r="AU344" s="444">
        <v>8</v>
      </c>
      <c r="AV344" s="405"/>
      <c r="AW344" s="405">
        <f>VLOOKUP(Таблица7[[#This Row],[Основное оружие]], Оружие[#All], 2, 0)</f>
        <v>1</v>
      </c>
      <c r="AX344" s="405" t="str">
        <f>IF(ISBLANK(Таблица7[[#This Row],[Дополнительное оружие]]),"", VLOOKUP(Таблица7[[#This Row],[Дополнительное оружие]], Оружие[#All], 2, 0))</f>
        <v/>
      </c>
      <c r="AY34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4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344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44" s="405">
        <f>VLOOKUP(Таблица7[[#This Row],[Основное оружие]], Оружие[#All], 3, 0)</f>
        <v>1</v>
      </c>
      <c r="BC344" s="405" t="str">
        <f>IF(ISBLANK(Таблица7[[#This Row],[Дополнительное оружие]]),"", VLOOKUP(Таблица7[[#This Row],[Дополнительное оружие]], Оружие[#All], 3, 0))</f>
        <v/>
      </c>
      <c r="BD34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4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4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4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34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44" s="405">
        <f>Таблица7[[#This Row],[Броня]]+Таблица7[[#This Row],[Щит]]+Таблица7[[#This Row],[навык защиты]]</f>
        <v>23</v>
      </c>
      <c r="BK344" s="1006"/>
      <c r="BL344" s="1006"/>
      <c r="BM344" s="394"/>
      <c r="BN344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44" s="394">
        <v>3</v>
      </c>
      <c r="BP344" s="394">
        <v>-1</v>
      </c>
      <c r="BQ344" s="394">
        <v>-2</v>
      </c>
      <c r="BR344" s="394">
        <v>-2</v>
      </c>
      <c r="BS344" s="394">
        <v>2</v>
      </c>
      <c r="BT344" s="394">
        <v>12</v>
      </c>
      <c r="BU344" s="994" t="s">
        <v>1840</v>
      </c>
      <c r="BV344" s="994" t="s">
        <v>1844</v>
      </c>
      <c r="BW344" s="394"/>
      <c r="BX344" s="394"/>
      <c r="BY344" s="394"/>
      <c r="BZ344" s="139"/>
    </row>
    <row r="345" spans="1:78" s="136" customFormat="1" ht="40.5" customHeight="1" x14ac:dyDescent="0.25">
      <c r="A345" s="333">
        <v>344</v>
      </c>
      <c r="B345" s="305" t="s">
        <v>1379</v>
      </c>
      <c r="C345" s="305"/>
      <c r="D345" s="134" t="s">
        <v>1556</v>
      </c>
      <c r="E345" s="134" t="s">
        <v>1562</v>
      </c>
      <c r="F345" s="134"/>
      <c r="G345" s="134"/>
      <c r="H345" s="134"/>
      <c r="I345" s="661">
        <v>0.8</v>
      </c>
      <c r="J345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64</v>
      </c>
      <c r="K345" s="623">
        <f>Таблица7[[#This Row],[Размер отряда минимум]]*1.25</f>
        <v>80</v>
      </c>
      <c r="L345" s="623">
        <f>Таблица7[[#This Row],[Размер отряда норма]]*1.5</f>
        <v>120</v>
      </c>
      <c r="M345" s="624">
        <f>Таблица7[[#This Row],[Размер отряда минимум]]*2.5</f>
        <v>160</v>
      </c>
      <c r="N345" s="624"/>
      <c r="O345" s="624"/>
      <c r="P345" s="624"/>
      <c r="Q345" s="624"/>
      <c r="R345" s="135" t="s">
        <v>24</v>
      </c>
      <c r="S345" s="967" t="s">
        <v>2894</v>
      </c>
      <c r="T345" s="134" t="s">
        <v>975</v>
      </c>
      <c r="U345" s="188" t="s">
        <v>1121</v>
      </c>
      <c r="V345" s="137"/>
      <c r="W345" s="188" t="s">
        <v>993</v>
      </c>
      <c r="X345" s="134" t="s">
        <v>994</v>
      </c>
      <c r="Y345" s="134"/>
      <c r="Z345" s="134"/>
      <c r="AA345" s="134"/>
      <c r="AB345" s="134"/>
      <c r="AC345" s="134"/>
      <c r="AD345" s="188" t="s">
        <v>1482</v>
      </c>
      <c r="AE345" s="188"/>
      <c r="AF345" s="134" t="s">
        <v>1481</v>
      </c>
      <c r="AG345" s="134"/>
      <c r="AH345" s="134" t="s">
        <v>985</v>
      </c>
      <c r="AI345" s="134"/>
      <c r="AJ345" s="134" t="s">
        <v>1004</v>
      </c>
      <c r="AK345" s="134"/>
      <c r="AL345" s="208" t="s">
        <v>985</v>
      </c>
      <c r="AM345" s="134" t="s">
        <v>977</v>
      </c>
      <c r="AN345" s="134" t="s">
        <v>997</v>
      </c>
      <c r="AO345" s="134"/>
      <c r="AP345" s="134" t="s">
        <v>1119</v>
      </c>
      <c r="AQ345" s="134"/>
      <c r="AS345" s="134">
        <v>1500</v>
      </c>
      <c r="AT345" s="137">
        <v>1550</v>
      </c>
      <c r="AU345" s="444">
        <v>7</v>
      </c>
      <c r="AV345" s="405"/>
      <c r="AW345" s="405">
        <f>VLOOKUP(Таблица7[[#This Row],[Основное оружие]], Оружие[#All], 2, 0)</f>
        <v>1</v>
      </c>
      <c r="AX345" s="405" t="str">
        <f>IF(ISBLANK(Таблица7[[#This Row],[Дополнительное оружие]]),"", VLOOKUP(Таблица7[[#This Row],[Дополнительное оружие]], Оружие[#All], 2, 0))</f>
        <v/>
      </c>
      <c r="AY34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4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345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45" s="405">
        <f>VLOOKUP(Таблица7[[#This Row],[Основное оружие]], Оружие[#All], 3, 0)</f>
        <v>1</v>
      </c>
      <c r="BC345" s="405" t="str">
        <f>IF(ISBLANK(Таблица7[[#This Row],[Дополнительное оружие]]),"", VLOOKUP(Таблица7[[#This Row],[Дополнительное оружие]], Оружие[#All], 3, 0))</f>
        <v/>
      </c>
      <c r="BD34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4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4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5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4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4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45" s="405">
        <f>Таблица7[[#This Row],[Броня]]+Таблица7[[#This Row],[Щит]]+Таблица7[[#This Row],[навык защиты]]</f>
        <v>22</v>
      </c>
      <c r="BK345" s="1006"/>
      <c r="BL345" s="1006"/>
      <c r="BM345" s="394"/>
      <c r="BN345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45" s="394">
        <v>3</v>
      </c>
      <c r="BP345" s="394">
        <v>-1</v>
      </c>
      <c r="BQ345" s="394">
        <v>-2</v>
      </c>
      <c r="BR345" s="394">
        <v>-2</v>
      </c>
      <c r="BS345" s="394">
        <v>2</v>
      </c>
      <c r="BT345" s="394">
        <v>10</v>
      </c>
      <c r="BU345" s="994" t="s">
        <v>1576</v>
      </c>
      <c r="BV345" s="994" t="s">
        <v>1843</v>
      </c>
      <c r="BW345" s="394"/>
      <c r="BX345" s="394"/>
      <c r="BY345" s="394"/>
      <c r="BZ345" s="139"/>
    </row>
    <row r="346" spans="1:78" s="136" customFormat="1" ht="40.5" customHeight="1" x14ac:dyDescent="0.25">
      <c r="A346" s="333">
        <v>345</v>
      </c>
      <c r="B346" s="305" t="s">
        <v>1379</v>
      </c>
      <c r="C346" s="305"/>
      <c r="D346" s="134" t="s">
        <v>1556</v>
      </c>
      <c r="E346" s="134" t="s">
        <v>1562</v>
      </c>
      <c r="F346" s="134"/>
      <c r="G346" s="134"/>
      <c r="H346" s="134"/>
      <c r="I346" s="661">
        <v>0.8</v>
      </c>
      <c r="J346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72</v>
      </c>
      <c r="K346" s="623">
        <f>Таблица7[[#This Row],[Размер отряда минимум]]*1.25</f>
        <v>90</v>
      </c>
      <c r="L346" s="623">
        <f>Таблица7[[#This Row],[Размер отряда норма]]*1.5</f>
        <v>135</v>
      </c>
      <c r="M346" s="624">
        <f>Таблица7[[#This Row],[Размер отряда минимум]]*2.5</f>
        <v>180</v>
      </c>
      <c r="N346" s="624"/>
      <c r="O346" s="624"/>
      <c r="P346" s="624"/>
      <c r="Q346" s="624"/>
      <c r="R346" s="135" t="s">
        <v>24</v>
      </c>
      <c r="S346" s="967" t="s">
        <v>2894</v>
      </c>
      <c r="T346" s="261" t="s">
        <v>976</v>
      </c>
      <c r="U346" s="188" t="s">
        <v>1121</v>
      </c>
      <c r="V346" s="137"/>
      <c r="W346" s="134" t="s">
        <v>993</v>
      </c>
      <c r="X346" s="134" t="s">
        <v>994</v>
      </c>
      <c r="Y346" s="134"/>
      <c r="Z346" s="134"/>
      <c r="AA346" s="134"/>
      <c r="AB346" s="134"/>
      <c r="AC346" s="134"/>
      <c r="AD346" s="188" t="s">
        <v>1482</v>
      </c>
      <c r="AE346" s="188"/>
      <c r="AF346" s="134" t="s">
        <v>1481</v>
      </c>
      <c r="AG346" s="134"/>
      <c r="AH346" s="134" t="s">
        <v>985</v>
      </c>
      <c r="AI346" s="134"/>
      <c r="AJ346" s="134" t="s">
        <v>1048</v>
      </c>
      <c r="AK346" s="134"/>
      <c r="AL346" s="208" t="s">
        <v>985</v>
      </c>
      <c r="AM346" s="134" t="s">
        <v>977</v>
      </c>
      <c r="AN346" s="134" t="s">
        <v>997</v>
      </c>
      <c r="AO346" s="134"/>
      <c r="AP346" s="134" t="s">
        <v>1119</v>
      </c>
      <c r="AQ346" s="134"/>
      <c r="AS346" s="136">
        <v>1550</v>
      </c>
      <c r="AT346" s="138"/>
      <c r="AU346" s="444">
        <v>6</v>
      </c>
      <c r="AV346" s="405"/>
      <c r="AW346" s="405">
        <f>VLOOKUP(Таблица7[[#This Row],[Основное оружие]], Оружие[#All], 2, 0)</f>
        <v>1</v>
      </c>
      <c r="AX346" s="405" t="str">
        <f>IF(ISBLANK(Таблица7[[#This Row],[Дополнительное оружие]]),"", VLOOKUP(Таблица7[[#This Row],[Дополнительное оружие]], Оружие[#All], 2, 0))</f>
        <v/>
      </c>
      <c r="AY34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4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346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46" s="405">
        <f>VLOOKUP(Таблица7[[#This Row],[Основное оружие]], Оружие[#All], 3, 0)</f>
        <v>1</v>
      </c>
      <c r="BC346" s="405" t="str">
        <f>IF(ISBLANK(Таблица7[[#This Row],[Дополнительное оружие]]),"", VLOOKUP(Таблица7[[#This Row],[Дополнительное оружие]], Оружие[#All], 3, 0))</f>
        <v/>
      </c>
      <c r="BD34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4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4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6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34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4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46" s="405">
        <f>Таблица7[[#This Row],[Броня]]+Таблица7[[#This Row],[Щит]]+Таблица7[[#This Row],[навык защиты]]</f>
        <v>21</v>
      </c>
      <c r="BK346" s="1006"/>
      <c r="BL346" s="1006"/>
      <c r="BM346" s="394"/>
      <c r="BN346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46" s="394">
        <v>3</v>
      </c>
      <c r="BP346" s="394">
        <v>-1</v>
      </c>
      <c r="BQ346" s="394">
        <v>-2</v>
      </c>
      <c r="BR346" s="394">
        <v>-2</v>
      </c>
      <c r="BS346" s="394">
        <v>2</v>
      </c>
      <c r="BT346" s="394">
        <v>10</v>
      </c>
      <c r="BU346" s="994" t="s">
        <v>1576</v>
      </c>
      <c r="BV346" s="994" t="s">
        <v>1843</v>
      </c>
      <c r="BW346" s="394"/>
      <c r="BX346" s="394"/>
      <c r="BY346" s="394"/>
      <c r="BZ346" s="139"/>
    </row>
    <row r="347" spans="1:78" s="136" customFormat="1" ht="40.5" customHeight="1" x14ac:dyDescent="0.25">
      <c r="A347" s="333">
        <v>346</v>
      </c>
      <c r="B347" s="305" t="s">
        <v>1380</v>
      </c>
      <c r="C347" s="305"/>
      <c r="D347" s="134" t="s">
        <v>1555</v>
      </c>
      <c r="E347" s="134" t="s">
        <v>1448</v>
      </c>
      <c r="F347" s="134"/>
      <c r="G347" s="134"/>
      <c r="H347" s="134"/>
      <c r="I347" s="661">
        <v>0.75</v>
      </c>
      <c r="J347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</v>
      </c>
      <c r="K347" s="623">
        <f>Таблица7[[#This Row],[Размер отряда минимум]]*1.25</f>
        <v>26.25</v>
      </c>
      <c r="L347" s="623">
        <f>Таблица7[[#This Row],[Размер отряда норма]]*1.5</f>
        <v>39.375</v>
      </c>
      <c r="M347" s="624">
        <f>Таблица7[[#This Row],[Размер отряда минимум]]*2.5</f>
        <v>52.5</v>
      </c>
      <c r="N347" s="624"/>
      <c r="O347" s="624"/>
      <c r="P347" s="624"/>
      <c r="Q347" s="624"/>
      <c r="R347" s="135" t="s">
        <v>24</v>
      </c>
      <c r="S347" s="967" t="s">
        <v>2894</v>
      </c>
      <c r="T347" s="134" t="s">
        <v>975</v>
      </c>
      <c r="U347" s="188" t="s">
        <v>1123</v>
      </c>
      <c r="V347" s="137"/>
      <c r="W347" s="134" t="s">
        <v>1001</v>
      </c>
      <c r="X347" s="134" t="s">
        <v>1528</v>
      </c>
      <c r="Y347" s="134"/>
      <c r="Z347" s="134" t="s">
        <v>1036</v>
      </c>
      <c r="AA347" s="134"/>
      <c r="AB347" s="134"/>
      <c r="AC347" s="134"/>
      <c r="AD347" s="188" t="s">
        <v>1158</v>
      </c>
      <c r="AE347" s="188"/>
      <c r="AF347" s="134" t="s">
        <v>1211</v>
      </c>
      <c r="AG347" s="134"/>
      <c r="AH347" s="134" t="s">
        <v>985</v>
      </c>
      <c r="AI347" s="134"/>
      <c r="AJ347" s="188" t="s">
        <v>985</v>
      </c>
      <c r="AK347" s="188"/>
      <c r="AL347" s="208" t="s">
        <v>985</v>
      </c>
      <c r="AM347" s="134" t="s">
        <v>977</v>
      </c>
      <c r="AN347" s="134" t="s">
        <v>999</v>
      </c>
      <c r="AO347" s="134"/>
      <c r="AP347" s="134" t="s">
        <v>1119</v>
      </c>
      <c r="AQ347" s="134"/>
      <c r="AS347" s="136">
        <v>1500</v>
      </c>
      <c r="AT347" s="138">
        <v>1565</v>
      </c>
      <c r="AU347" s="405">
        <v>5</v>
      </c>
      <c r="AV347" s="405"/>
      <c r="AW347" s="405">
        <f>VLOOKUP(Таблица7[[#This Row],[Основное оружие]], Оружие[#All], 2, 0)</f>
        <v>2</v>
      </c>
      <c r="AX347" s="405">
        <f>IF(ISBLANK(Таблица7[[#This Row],[Дополнительное оружие]]),"", VLOOKUP(Таблица7[[#This Row],[Дополнительное оружие]], Оружие[#All], 2, 0))</f>
        <v>5</v>
      </c>
      <c r="AY34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4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34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347" s="405">
        <f>VLOOKUP(Таблица7[[#This Row],[Основное оружие]], Оружие[#All], 3, 0)</f>
        <v>6</v>
      </c>
      <c r="BC347" s="405">
        <f>IF(ISBLANK(Таблица7[[#This Row],[Дополнительное оружие]]),"", VLOOKUP(Таблица7[[#This Row],[Дополнительное оружие]], Оружие[#All], 3, 0))</f>
        <v>3</v>
      </c>
      <c r="BD34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34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13</v>
      </c>
      <c r="BF34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4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4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47" s="405">
        <f>Таблица7[[#This Row],[Броня]]+Таблица7[[#This Row],[Щит]]+Таблица7[[#This Row],[навык защиты]]</f>
        <v>14</v>
      </c>
      <c r="BK347" s="1006"/>
      <c r="BL347" s="1006"/>
      <c r="BM347" s="394"/>
      <c r="BN347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47" s="394">
        <v>3</v>
      </c>
      <c r="BP347" s="394">
        <v>-2</v>
      </c>
      <c r="BQ347" s="394">
        <v>0</v>
      </c>
      <c r="BR347" s="394">
        <v>-4</v>
      </c>
      <c r="BS347" s="394">
        <v>-2</v>
      </c>
      <c r="BT347" s="394">
        <v>8</v>
      </c>
      <c r="BU347" s="994" t="s">
        <v>1576</v>
      </c>
      <c r="BV347" s="994" t="s">
        <v>1843</v>
      </c>
      <c r="BW347" s="394"/>
      <c r="BX347" s="394"/>
      <c r="BY347" s="394"/>
      <c r="BZ347" s="139"/>
    </row>
    <row r="348" spans="1:78" s="136" customFormat="1" ht="40.5" customHeight="1" x14ac:dyDescent="0.25">
      <c r="A348" s="333">
        <v>347</v>
      </c>
      <c r="B348" s="305" t="s">
        <v>1380</v>
      </c>
      <c r="C348" s="305"/>
      <c r="D348" s="134" t="s">
        <v>1555</v>
      </c>
      <c r="E348" s="134" t="s">
        <v>1448</v>
      </c>
      <c r="F348" s="134"/>
      <c r="G348" s="134"/>
      <c r="H348" s="134"/>
      <c r="I348" s="661">
        <v>0.75</v>
      </c>
      <c r="J348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348" s="623">
        <f>Таблица7[[#This Row],[Размер отряда минимум]]*1.25</f>
        <v>30</v>
      </c>
      <c r="L348" s="623">
        <f>Таблица7[[#This Row],[Размер отряда норма]]*1.5</f>
        <v>45</v>
      </c>
      <c r="M348" s="624">
        <f>Таблица7[[#This Row],[Размер отряда минимум]]*2.5</f>
        <v>60</v>
      </c>
      <c r="N348" s="624"/>
      <c r="O348" s="624"/>
      <c r="P348" s="624"/>
      <c r="Q348" s="624"/>
      <c r="R348" s="135" t="s">
        <v>24</v>
      </c>
      <c r="S348" s="967" t="s">
        <v>2894</v>
      </c>
      <c r="T348" s="134" t="s">
        <v>976</v>
      </c>
      <c r="U348" s="188" t="s">
        <v>1123</v>
      </c>
      <c r="V348" s="137"/>
      <c r="W348" s="134" t="s">
        <v>1001</v>
      </c>
      <c r="X348" s="780" t="s">
        <v>1950</v>
      </c>
      <c r="Y348" s="134"/>
      <c r="Z348" s="134" t="s">
        <v>1440</v>
      </c>
      <c r="AA348" s="134"/>
      <c r="AB348" s="134"/>
      <c r="AC348" s="134"/>
      <c r="AD348" s="188" t="s">
        <v>1158</v>
      </c>
      <c r="AE348" s="188"/>
      <c r="AF348" s="134" t="s">
        <v>1211</v>
      </c>
      <c r="AG348" s="134"/>
      <c r="AH348" s="134" t="s">
        <v>985</v>
      </c>
      <c r="AI348" s="134"/>
      <c r="AJ348" s="188" t="s">
        <v>985</v>
      </c>
      <c r="AK348" s="188"/>
      <c r="AL348" s="208" t="s">
        <v>985</v>
      </c>
      <c r="AM348" s="134" t="s">
        <v>977</v>
      </c>
      <c r="AN348" s="134" t="s">
        <v>999</v>
      </c>
      <c r="AO348" s="134"/>
      <c r="AP348" s="134" t="s">
        <v>1119</v>
      </c>
      <c r="AQ348" s="134"/>
      <c r="AS348" s="136">
        <v>1565</v>
      </c>
      <c r="AT348" s="138"/>
      <c r="AU348" s="405">
        <v>5</v>
      </c>
      <c r="AV348" s="405" t="s">
        <v>1827</v>
      </c>
      <c r="AW348" s="405">
        <f>VLOOKUP(Таблица7[[#This Row],[Основное оружие]], Оружие[#All], 2, 0)</f>
        <v>0</v>
      </c>
      <c r="AX348" s="405">
        <f>IF(ISBLANK(Таблица7[[#This Row],[Дополнительное оружие]]),"", VLOOKUP(Таблица7[[#This Row],[Дополнительное оружие]], Оружие[#All], 2, 0))</f>
        <v>4</v>
      </c>
      <c r="AY34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4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4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48" s="405">
        <f>VLOOKUP(Таблица7[[#This Row],[Основное оружие]], Оружие[#All], 3, 0)</f>
        <v>1</v>
      </c>
      <c r="BC348" s="405">
        <f>IF(ISBLANK(Таблица7[[#This Row],[Дополнительное оружие]]),"", VLOOKUP(Таблица7[[#This Row],[Дополнительное оружие]], Оружие[#All], 3, 0))</f>
        <v>3</v>
      </c>
      <c r="BD34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34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13</v>
      </c>
      <c r="BF34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4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4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48" s="405">
        <f>Таблица7[[#This Row],[Броня]]+Таблица7[[#This Row],[Щит]]+Таблица7[[#This Row],[навык защиты]]</f>
        <v>14</v>
      </c>
      <c r="BK348" s="1006"/>
      <c r="BL348" s="1006"/>
      <c r="BM348" s="394"/>
      <c r="BN348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48" s="394">
        <v>3</v>
      </c>
      <c r="BP348" s="394">
        <v>-2</v>
      </c>
      <c r="BQ348" s="394">
        <v>0</v>
      </c>
      <c r="BR348" s="394">
        <v>-4</v>
      </c>
      <c r="BS348" s="394">
        <v>-2</v>
      </c>
      <c r="BT348" s="394">
        <v>8</v>
      </c>
      <c r="BU348" s="994" t="s">
        <v>1576</v>
      </c>
      <c r="BV348" s="994" t="s">
        <v>1843</v>
      </c>
      <c r="BW348" s="394"/>
      <c r="BX348" s="394"/>
      <c r="BY348" s="394"/>
      <c r="BZ348" s="139"/>
    </row>
    <row r="349" spans="1:78" s="136" customFormat="1" ht="40.5" customHeight="1" x14ac:dyDescent="0.25">
      <c r="A349" s="333">
        <v>348</v>
      </c>
      <c r="B349" s="305" t="s">
        <v>1381</v>
      </c>
      <c r="C349" s="305"/>
      <c r="D349" s="134" t="s">
        <v>1556</v>
      </c>
      <c r="E349" s="134" t="s">
        <v>1570</v>
      </c>
      <c r="F349" s="134"/>
      <c r="G349" s="134"/>
      <c r="H349" s="134"/>
      <c r="I349" s="661">
        <v>0.75</v>
      </c>
      <c r="J349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349" s="623">
        <f>Таблица7[[#This Row],[Размер отряда минимум]]*1.25</f>
        <v>84.375</v>
      </c>
      <c r="L349" s="623">
        <f>Таблица7[[#This Row],[Размер отряда норма]]*1.5</f>
        <v>126.5625</v>
      </c>
      <c r="M349" s="624">
        <f>Таблица7[[#This Row],[Размер отряда минимум]]*2.5</f>
        <v>168.75</v>
      </c>
      <c r="N349" s="624"/>
      <c r="O349" s="624"/>
      <c r="P349" s="624"/>
      <c r="Q349" s="624"/>
      <c r="R349" s="135" t="s">
        <v>24</v>
      </c>
      <c r="S349" s="967" t="s">
        <v>2894</v>
      </c>
      <c r="T349" s="134" t="s">
        <v>975</v>
      </c>
      <c r="U349" s="188" t="s">
        <v>1124</v>
      </c>
      <c r="V349" s="137"/>
      <c r="W349" s="188" t="s">
        <v>1001</v>
      </c>
      <c r="X349" s="134" t="s">
        <v>1693</v>
      </c>
      <c r="Y349" s="134"/>
      <c r="Z349" s="134" t="s">
        <v>1036</v>
      </c>
      <c r="AA349" s="134"/>
      <c r="AB349" s="134"/>
      <c r="AC349" s="134"/>
      <c r="AD349" s="188" t="s">
        <v>985</v>
      </c>
      <c r="AE349" s="188"/>
      <c r="AF349" s="134" t="s">
        <v>985</v>
      </c>
      <c r="AG349" s="134"/>
      <c r="AH349" s="134" t="s">
        <v>985</v>
      </c>
      <c r="AI349" s="134"/>
      <c r="AJ349" s="188" t="s">
        <v>985</v>
      </c>
      <c r="AK349" s="188"/>
      <c r="AL349" s="208" t="s">
        <v>985</v>
      </c>
      <c r="AM349" s="134" t="s">
        <v>978</v>
      </c>
      <c r="AN349" s="134" t="s">
        <v>1125</v>
      </c>
      <c r="AO349" s="134"/>
      <c r="AP349" s="134" t="s">
        <v>1119</v>
      </c>
      <c r="AQ349" s="134"/>
      <c r="AS349" s="136">
        <v>1510</v>
      </c>
      <c r="AT349" s="138">
        <v>1550</v>
      </c>
      <c r="AU349" s="405">
        <v>1</v>
      </c>
      <c r="AV349" s="405" t="s">
        <v>1826</v>
      </c>
      <c r="AW349" s="405">
        <f>VLOOKUP(Таблица7[[#This Row],[Основное оружие]], Оружие[#All], 2, 0)</f>
        <v>0</v>
      </c>
      <c r="AX349" s="405">
        <f>IF(ISBLANK(Таблица7[[#This Row],[Дополнительное оружие]]),"", VLOOKUP(Таблица7[[#This Row],[Дополнительное оружие]], Оружие[#All], 2, 0))</f>
        <v>5</v>
      </c>
      <c r="AY34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0)+1</f>
        <v>4</v>
      </c>
      <c r="AZ34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4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49" s="405">
        <f>VLOOKUP(Таблица7[[#This Row],[Основное оружие]], Оружие[#All], 3, 0)</f>
        <v>1</v>
      </c>
      <c r="BC349" s="405">
        <f>IF(ISBLANK(Таблица7[[#This Row],[Дополнительное оружие]]),"", VLOOKUP(Таблица7[[#This Row],[Дополнительное оружие]], Оружие[#All], 3, 0))</f>
        <v>3</v>
      </c>
      <c r="BD34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4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4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4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4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0)-1</f>
        <v>1</v>
      </c>
      <c r="BI34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49" s="405">
        <f>Таблица7[[#This Row],[Броня]]+Таблица7[[#This Row],[Щит]]+Таблица7[[#This Row],[навык защиты]]</f>
        <v>2</v>
      </c>
      <c r="BK349" s="1006"/>
      <c r="BL349" s="1008" t="s">
        <v>1584</v>
      </c>
      <c r="BM349" s="394"/>
      <c r="BN349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49" s="394">
        <v>3</v>
      </c>
      <c r="BP349" s="394">
        <v>1</v>
      </c>
      <c r="BQ349" s="394">
        <v>-2</v>
      </c>
      <c r="BR349" s="394">
        <v>2</v>
      </c>
      <c r="BS349" s="394">
        <v>2</v>
      </c>
      <c r="BT349" s="394">
        <v>3</v>
      </c>
      <c r="BU349" s="994" t="s">
        <v>1839</v>
      </c>
      <c r="BV349" s="994" t="s">
        <v>1842</v>
      </c>
      <c r="BW349" s="394"/>
      <c r="BX349" s="394"/>
      <c r="BY349" s="394"/>
      <c r="BZ349" s="139"/>
    </row>
    <row r="350" spans="1:78" s="136" customFormat="1" ht="40.5" customHeight="1" x14ac:dyDescent="0.25">
      <c r="A350" s="333">
        <v>349</v>
      </c>
      <c r="B350" s="305" t="s">
        <v>1381</v>
      </c>
      <c r="C350" s="305"/>
      <c r="D350" s="134" t="s">
        <v>1556</v>
      </c>
      <c r="E350" s="134" t="s">
        <v>1570</v>
      </c>
      <c r="F350" s="134"/>
      <c r="G350" s="134"/>
      <c r="H350" s="134"/>
      <c r="I350" s="661">
        <v>0.75</v>
      </c>
      <c r="J350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50" s="623">
        <f>Таблица7[[#This Row],[Размер отряда минимум]]*1.25</f>
        <v>93.75</v>
      </c>
      <c r="L350" s="623">
        <f>Таблица7[[#This Row],[Размер отряда норма]]*1.5</f>
        <v>140.625</v>
      </c>
      <c r="M350" s="624">
        <f>Таблица7[[#This Row],[Размер отряда минимум]]*2.5</f>
        <v>187.5</v>
      </c>
      <c r="N350" s="624"/>
      <c r="O350" s="624"/>
      <c r="P350" s="624"/>
      <c r="Q350" s="624"/>
      <c r="R350" s="135" t="s">
        <v>24</v>
      </c>
      <c r="S350" s="967" t="s">
        <v>2894</v>
      </c>
      <c r="T350" s="134" t="s">
        <v>976</v>
      </c>
      <c r="U350" s="188" t="s">
        <v>1124</v>
      </c>
      <c r="V350" s="137"/>
      <c r="W350" s="134" t="s">
        <v>1001</v>
      </c>
      <c r="X350" s="134" t="s">
        <v>1693</v>
      </c>
      <c r="Y350" s="134"/>
      <c r="Z350" s="134" t="s">
        <v>1036</v>
      </c>
      <c r="AA350" s="134"/>
      <c r="AB350" s="134"/>
      <c r="AC350" s="134"/>
      <c r="AD350" s="188" t="s">
        <v>985</v>
      </c>
      <c r="AE350" s="188"/>
      <c r="AF350" s="134" t="s">
        <v>985</v>
      </c>
      <c r="AG350" s="134"/>
      <c r="AH350" s="134" t="s">
        <v>985</v>
      </c>
      <c r="AI350" s="134"/>
      <c r="AJ350" s="188" t="s">
        <v>985</v>
      </c>
      <c r="AK350" s="188"/>
      <c r="AL350" s="208" t="s">
        <v>985</v>
      </c>
      <c r="AM350" s="134" t="s">
        <v>978</v>
      </c>
      <c r="AN350" s="134" t="s">
        <v>1125</v>
      </c>
      <c r="AO350" s="134"/>
      <c r="AP350" s="134" t="s">
        <v>1119</v>
      </c>
      <c r="AQ350" s="134"/>
      <c r="AS350" s="136">
        <v>1550</v>
      </c>
      <c r="AT350" s="138"/>
      <c r="AU350" s="405">
        <v>1</v>
      </c>
      <c r="AV350" s="405" t="s">
        <v>1827</v>
      </c>
      <c r="AW350" s="405">
        <f>VLOOKUP(Таблица7[[#This Row],[Основное оружие]], Оружие[#All], 2, 0)</f>
        <v>0</v>
      </c>
      <c r="AX350" s="405">
        <f>IF(ISBLANK(Таблица7[[#This Row],[Дополнительное оружие]]),"", VLOOKUP(Таблица7[[#This Row],[Дополнительное оружие]], Оружие[#All], 2, 0))</f>
        <v>5</v>
      </c>
      <c r="AY35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0)+1</f>
        <v>4</v>
      </c>
      <c r="AZ35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5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50" s="405">
        <f>VLOOKUP(Таблица7[[#This Row],[Основное оружие]], Оружие[#All], 3, 0)</f>
        <v>1</v>
      </c>
      <c r="BC350" s="405">
        <f>IF(ISBLANK(Таблица7[[#This Row],[Дополнительное оружие]]),"", VLOOKUP(Таблица7[[#This Row],[Дополнительное оружие]], Оружие[#All], 3, 0))</f>
        <v>3</v>
      </c>
      <c r="BD35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5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5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0)-1</f>
        <v>1</v>
      </c>
      <c r="BI35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0" s="405">
        <f>Таблица7[[#This Row],[Броня]]+Таблица7[[#This Row],[Щит]]+Таблица7[[#This Row],[навык защиты]]</f>
        <v>2</v>
      </c>
      <c r="BK350" s="1006"/>
      <c r="BL350" s="1008" t="s">
        <v>1584</v>
      </c>
      <c r="BM350" s="394"/>
      <c r="BN350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50" s="394">
        <v>3</v>
      </c>
      <c r="BP350" s="394">
        <v>1</v>
      </c>
      <c r="BQ350" s="394">
        <v>-2</v>
      </c>
      <c r="BR350" s="394">
        <v>2</v>
      </c>
      <c r="BS350" s="394">
        <v>2</v>
      </c>
      <c r="BT350" s="394">
        <v>3</v>
      </c>
      <c r="BU350" s="994" t="s">
        <v>1839</v>
      </c>
      <c r="BV350" s="994" t="s">
        <v>1842</v>
      </c>
      <c r="BW350" s="394"/>
      <c r="BX350" s="394"/>
      <c r="BY350" s="394"/>
      <c r="BZ350" s="139"/>
    </row>
    <row r="351" spans="1:78" s="136" customFormat="1" ht="40.5" customHeight="1" x14ac:dyDescent="0.25">
      <c r="A351" s="333">
        <v>350</v>
      </c>
      <c r="B351" s="305" t="s">
        <v>1382</v>
      </c>
      <c r="C351" s="305"/>
      <c r="D351" s="134" t="s">
        <v>1556</v>
      </c>
      <c r="E351" s="134" t="s">
        <v>1570</v>
      </c>
      <c r="F351" s="134"/>
      <c r="G351" s="134"/>
      <c r="H351" s="134"/>
      <c r="I351" s="661">
        <v>0.75</v>
      </c>
      <c r="J351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51" s="623">
        <f>Таблица7[[#This Row],[Размер отряда минимум]]*1.25</f>
        <v>93.75</v>
      </c>
      <c r="L351" s="623">
        <f>Таблица7[[#This Row],[Размер отряда норма]]*1.5</f>
        <v>140.625</v>
      </c>
      <c r="M351" s="624">
        <f>Таблица7[[#This Row],[Размер отряда минимум]]*2.5</f>
        <v>187.5</v>
      </c>
      <c r="N351" s="624"/>
      <c r="O351" s="624"/>
      <c r="P351" s="624"/>
      <c r="Q351" s="624"/>
      <c r="R351" s="135" t="s">
        <v>24</v>
      </c>
      <c r="S351" s="967" t="s">
        <v>2894</v>
      </c>
      <c r="T351" s="134" t="s">
        <v>976</v>
      </c>
      <c r="U351" s="188" t="s">
        <v>1126</v>
      </c>
      <c r="V351" s="137"/>
      <c r="W351" s="188" t="s">
        <v>1001</v>
      </c>
      <c r="X351" s="134" t="s">
        <v>1469</v>
      </c>
      <c r="Y351" s="134"/>
      <c r="Z351" s="134" t="s">
        <v>1036</v>
      </c>
      <c r="AA351" s="134"/>
      <c r="AB351" s="134"/>
      <c r="AC351" s="134"/>
      <c r="AD351" s="188" t="s">
        <v>985</v>
      </c>
      <c r="AE351" s="188"/>
      <c r="AF351" s="134" t="s">
        <v>985</v>
      </c>
      <c r="AG351" s="134"/>
      <c r="AH351" s="134" t="s">
        <v>985</v>
      </c>
      <c r="AI351" s="134"/>
      <c r="AJ351" s="188" t="s">
        <v>985</v>
      </c>
      <c r="AK351" s="188"/>
      <c r="AL351" s="208" t="s">
        <v>985</v>
      </c>
      <c r="AM351" s="134" t="s">
        <v>978</v>
      </c>
      <c r="AN351" s="134" t="s">
        <v>1125</v>
      </c>
      <c r="AO351" s="134"/>
      <c r="AP351" s="134" t="s">
        <v>1119</v>
      </c>
      <c r="AQ351" s="134"/>
      <c r="AS351" s="136">
        <v>1550</v>
      </c>
      <c r="AT351" s="138"/>
      <c r="AU351" s="405">
        <v>2</v>
      </c>
      <c r="AV351" s="405" t="s">
        <v>1828</v>
      </c>
      <c r="AW351" s="405">
        <f>VLOOKUP(Таблица7[[#This Row],[Основное оружие]], Оружие[#All], 2, 0)</f>
        <v>0</v>
      </c>
      <c r="AX351" s="405">
        <f>IF(ISBLANK(Таблица7[[#This Row],[Дополнительное оружие]]),"", VLOOKUP(Таблица7[[#This Row],[Дополнительное оружие]], Оружие[#All], 2, 0))</f>
        <v>5</v>
      </c>
      <c r="AY35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0)-1</f>
        <v>3</v>
      </c>
      <c r="AZ35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5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351" s="405">
        <f>VLOOKUP(Таблица7[[#This Row],[Основное оружие]], Оружие[#All], 3, 0)</f>
        <v>1</v>
      </c>
      <c r="BC351" s="405">
        <f>IF(ISBLANK(Таблица7[[#This Row],[Дополнительное оружие]]),"", VLOOKUP(Таблица7[[#This Row],[Дополнительное оружие]], Оружие[#All], 3, 0))</f>
        <v>3</v>
      </c>
      <c r="BD35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5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5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4</v>
      </c>
      <c r="BI35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1" s="405">
        <f>Таблица7[[#This Row],[Броня]]+Таблица7[[#This Row],[Щит]]+Таблица7[[#This Row],[навык защиты]]</f>
        <v>5</v>
      </c>
      <c r="BK351" s="1006"/>
      <c r="BL351" s="1008" t="s">
        <v>1586</v>
      </c>
      <c r="BM351" s="394"/>
      <c r="BN351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51" s="394">
        <v>3</v>
      </c>
      <c r="BP351" s="394">
        <v>1</v>
      </c>
      <c r="BQ351" s="394">
        <v>-2</v>
      </c>
      <c r="BR351" s="394">
        <v>2</v>
      </c>
      <c r="BS351" s="394">
        <v>2</v>
      </c>
      <c r="BT351" s="394">
        <v>7</v>
      </c>
      <c r="BU351" s="994" t="s">
        <v>1576</v>
      </c>
      <c r="BV351" s="994" t="s">
        <v>1842</v>
      </c>
      <c r="BW351" s="394"/>
      <c r="BX351" s="394"/>
      <c r="BY351" s="394"/>
      <c r="BZ351" s="139"/>
    </row>
    <row r="352" spans="1:78" s="136" customFormat="1" ht="40.5" customHeight="1" x14ac:dyDescent="0.25">
      <c r="A352" s="333">
        <v>351</v>
      </c>
      <c r="B352" s="305" t="s">
        <v>1383</v>
      </c>
      <c r="C352" s="305"/>
      <c r="D352" s="134" t="s">
        <v>1556</v>
      </c>
      <c r="E352" s="134" t="s">
        <v>1562</v>
      </c>
      <c r="F352" s="134"/>
      <c r="G352" s="134"/>
      <c r="H352" s="134"/>
      <c r="I352" s="661">
        <v>0.5</v>
      </c>
      <c r="J352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352" s="623">
        <f>Таблица7[[#This Row],[Размер отряда минимум]]*1.25</f>
        <v>50</v>
      </c>
      <c r="L352" s="623">
        <f>Таблица7[[#This Row],[Размер отряда норма]]*1.5</f>
        <v>75</v>
      </c>
      <c r="M352" s="624">
        <f>Таблица7[[#This Row],[Размер отряда минимум]]*2.5</f>
        <v>100</v>
      </c>
      <c r="N352" s="624"/>
      <c r="O352" s="624"/>
      <c r="P352" s="624"/>
      <c r="Q352" s="624"/>
      <c r="R352" s="135" t="s">
        <v>24</v>
      </c>
      <c r="S352" s="967" t="s">
        <v>2894</v>
      </c>
      <c r="T352" s="134" t="s">
        <v>975</v>
      </c>
      <c r="U352" s="188" t="s">
        <v>1130</v>
      </c>
      <c r="V352" s="137"/>
      <c r="W352" s="134" t="s">
        <v>993</v>
      </c>
      <c r="X352" s="134" t="s">
        <v>994</v>
      </c>
      <c r="Y352" s="134"/>
      <c r="Z352" s="134"/>
      <c r="AA352" s="134"/>
      <c r="AB352" s="134"/>
      <c r="AC352" s="134"/>
      <c r="AD352" s="803" t="s">
        <v>1004</v>
      </c>
      <c r="AE352" s="803"/>
      <c r="AF352" s="134" t="s">
        <v>985</v>
      </c>
      <c r="AG352" s="134"/>
      <c r="AH352" s="134" t="s">
        <v>985</v>
      </c>
      <c r="AI352" s="134"/>
      <c r="AJ352" s="188" t="s">
        <v>985</v>
      </c>
      <c r="AK352" s="188"/>
      <c r="AL352" s="208" t="s">
        <v>985</v>
      </c>
      <c r="AM352" s="134" t="s">
        <v>935</v>
      </c>
      <c r="AN352" s="134" t="s">
        <v>952</v>
      </c>
      <c r="AO352" s="134"/>
      <c r="AP352" s="134" t="s">
        <v>952</v>
      </c>
      <c r="AQ352" s="134"/>
      <c r="AR352" s="134"/>
      <c r="AS352" s="134">
        <v>1500</v>
      </c>
      <c r="AT352" s="138">
        <v>1565</v>
      </c>
      <c r="AU352" s="444">
        <v>10</v>
      </c>
      <c r="AV352" s="405"/>
      <c r="AW352" s="405">
        <f>VLOOKUP(Таблица7[[#This Row],[Основное оружие]], Оружие[#All], 2, 0)</f>
        <v>1</v>
      </c>
      <c r="AX352" s="405" t="str">
        <f>IF(ISBLANK(Таблица7[[#This Row],[Дополнительное оружие]]),"", VLOOKUP(Таблица7[[#This Row],[Дополнительное оружие]], Оружие[#All], 2, 0))</f>
        <v/>
      </c>
      <c r="AY35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35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352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52" s="405">
        <f>VLOOKUP(Таблица7[[#This Row],[Основное оружие]], Оружие[#All], 3, 0)</f>
        <v>1</v>
      </c>
      <c r="BC352" s="405" t="str">
        <f>IF(ISBLANK(Таблица7[[#This Row],[Дополнительное оружие]]),"", VLOOKUP(Таблица7[[#This Row],[Дополнительное оружие]], Оружие[#All], 3, 0))</f>
        <v/>
      </c>
      <c r="BD35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35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5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5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2" s="405">
        <f>Таблица7[[#This Row],[Броня]]+Таблица7[[#This Row],[Щит]]+Таблица7[[#This Row],[навык защиты]]</f>
        <v>29</v>
      </c>
      <c r="BK352" s="1006"/>
      <c r="BL352" s="1006"/>
      <c r="BM352" s="394"/>
      <c r="BN352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52" s="394">
        <v>3</v>
      </c>
      <c r="BP352" s="394">
        <v>-1</v>
      </c>
      <c r="BQ352" s="394">
        <v>-2</v>
      </c>
      <c r="BR352" s="394">
        <v>-2</v>
      </c>
      <c r="BS352" s="394">
        <v>2</v>
      </c>
      <c r="BT352" s="394">
        <v>11</v>
      </c>
      <c r="BU352" s="994" t="s">
        <v>1840</v>
      </c>
      <c r="BV352" s="994" t="s">
        <v>1844</v>
      </c>
      <c r="BW352" s="394"/>
      <c r="BX352" s="394"/>
      <c r="BY352" s="394"/>
      <c r="BZ352" s="139"/>
    </row>
    <row r="353" spans="1:78" s="136" customFormat="1" ht="40.5" customHeight="1" x14ac:dyDescent="0.25">
      <c r="A353" s="333">
        <v>352</v>
      </c>
      <c r="B353" s="305" t="s">
        <v>1384</v>
      </c>
      <c r="C353" s="305"/>
      <c r="D353" s="134" t="s">
        <v>1555</v>
      </c>
      <c r="E353" s="134" t="s">
        <v>1547</v>
      </c>
      <c r="F353" s="134"/>
      <c r="G353" s="134"/>
      <c r="H353" s="134"/>
      <c r="I353" s="661">
        <v>0.5</v>
      </c>
      <c r="J353" s="62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353" s="623">
        <f>Таблица7[[#This Row],[Размер отряда минимум]]*1.25</f>
        <v>15</v>
      </c>
      <c r="L353" s="623">
        <f>Таблица7[[#This Row],[Размер отряда норма]]*1.5</f>
        <v>22.5</v>
      </c>
      <c r="M353" s="624">
        <f>Таблица7[[#This Row],[Размер отряда минимум]]*2.5</f>
        <v>30</v>
      </c>
      <c r="N353" s="624"/>
      <c r="O353" s="624"/>
      <c r="P353" s="624"/>
      <c r="Q353" s="624"/>
      <c r="R353" s="135" t="s">
        <v>24</v>
      </c>
      <c r="S353" s="967" t="s">
        <v>2894</v>
      </c>
      <c r="T353" s="134" t="s">
        <v>976</v>
      </c>
      <c r="U353" s="188" t="s">
        <v>1007</v>
      </c>
      <c r="V353" s="137"/>
      <c r="W353" s="134" t="s">
        <v>1001</v>
      </c>
      <c r="X353" s="780" t="s">
        <v>1950</v>
      </c>
      <c r="Y353" s="134"/>
      <c r="Z353" s="134" t="s">
        <v>1440</v>
      </c>
      <c r="AA353" s="134"/>
      <c r="AB353" s="134"/>
      <c r="AC353" s="134"/>
      <c r="AD353" s="188" t="s">
        <v>1005</v>
      </c>
      <c r="AE353" s="188"/>
      <c r="AF353" s="134" t="s">
        <v>985</v>
      </c>
      <c r="AG353" s="134"/>
      <c r="AH353" s="134" t="s">
        <v>985</v>
      </c>
      <c r="AI353" s="134"/>
      <c r="AJ353" s="188" t="s">
        <v>985</v>
      </c>
      <c r="AK353" s="188"/>
      <c r="AL353" s="208" t="s">
        <v>985</v>
      </c>
      <c r="AM353" s="134" t="s">
        <v>935</v>
      </c>
      <c r="AN353" s="134" t="s">
        <v>952</v>
      </c>
      <c r="AO353" s="134"/>
      <c r="AP353" s="134" t="s">
        <v>952</v>
      </c>
      <c r="AQ353" s="134"/>
      <c r="AR353" s="134"/>
      <c r="AS353" s="134">
        <v>1565</v>
      </c>
      <c r="AT353" s="138"/>
      <c r="AU353" s="405">
        <v>10</v>
      </c>
      <c r="AV353" s="405" t="s">
        <v>1828</v>
      </c>
      <c r="AW353" s="405">
        <f>VLOOKUP(Таблица7[[#This Row],[Основное оружие]], Оружие[#All], 2, 0)</f>
        <v>0</v>
      </c>
      <c r="AX353" s="405">
        <f>IF(ISBLANK(Таблица7[[#This Row],[Дополнительное оружие]]),"", VLOOKUP(Таблица7[[#This Row],[Дополнительное оружие]], Оружие[#All], 2, 0))</f>
        <v>4</v>
      </c>
      <c r="AY35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5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5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53" s="405">
        <f>VLOOKUP(Таблица7[[#This Row],[Основное оружие]], Оружие[#All], 3, 0)</f>
        <v>1</v>
      </c>
      <c r="BC353" s="405">
        <f>IF(ISBLANK(Таблица7[[#This Row],[Дополнительное оружие]]),"", VLOOKUP(Таблица7[[#This Row],[Дополнительное оружие]], Оружие[#All], 3, 0))</f>
        <v>3</v>
      </c>
      <c r="BD35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35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5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5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3" s="405">
        <f>Таблица7[[#This Row],[Броня]]+Таблица7[[#This Row],[Щит]]+Таблица7[[#This Row],[навык защиты]]</f>
        <v>28</v>
      </c>
      <c r="BK353" s="1006"/>
      <c r="BL353" s="1006"/>
      <c r="BM353" s="394"/>
      <c r="BN353" s="99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53" s="394">
        <v>3</v>
      </c>
      <c r="BP353" s="394">
        <v>-2</v>
      </c>
      <c r="BQ353" s="394">
        <v>0</v>
      </c>
      <c r="BR353" s="394">
        <v>-4</v>
      </c>
      <c r="BS353" s="394">
        <v>-2</v>
      </c>
      <c r="BT353" s="394">
        <v>11</v>
      </c>
      <c r="BU353" s="994" t="s">
        <v>1840</v>
      </c>
      <c r="BV353" s="994" t="s">
        <v>1844</v>
      </c>
      <c r="BW353" s="394"/>
      <c r="BX353" s="394"/>
      <c r="BY353" s="394"/>
      <c r="BZ353" s="139"/>
    </row>
    <row r="354" spans="1:78" s="126" customFormat="1" ht="40.5" customHeight="1" x14ac:dyDescent="0.25">
      <c r="A354" s="333">
        <v>353</v>
      </c>
      <c r="B354" s="883" t="s">
        <v>2445</v>
      </c>
      <c r="C354" s="883" t="s">
        <v>2446</v>
      </c>
      <c r="D354" s="509" t="s">
        <v>1556</v>
      </c>
      <c r="E354" s="126" t="s">
        <v>1546</v>
      </c>
      <c r="I354" s="638">
        <v>0.9</v>
      </c>
      <c r="J354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354" s="619">
        <f>Таблица7[[#This Row],[Размер отряда минимум]]*1.25</f>
        <v>101.25</v>
      </c>
      <c r="L354" s="619">
        <f>Таблица7[[#This Row],[Размер отряда норма]]*1.5</f>
        <v>151.875</v>
      </c>
      <c r="M354" s="620">
        <f>Таблица7[[#This Row],[Размер отряда минимум]]*2.5</f>
        <v>202.5</v>
      </c>
      <c r="N354" s="620"/>
      <c r="O354" s="620"/>
      <c r="P354" s="620"/>
      <c r="Q354" s="620"/>
      <c r="R354" s="509" t="s">
        <v>25</v>
      </c>
      <c r="S354" s="883" t="s">
        <v>2444</v>
      </c>
      <c r="T354" s="509" t="s">
        <v>975</v>
      </c>
      <c r="U354" s="884" t="s">
        <v>1751</v>
      </c>
      <c r="V354" s="885" t="s">
        <v>2448</v>
      </c>
      <c r="W354" s="509" t="s">
        <v>1001</v>
      </c>
      <c r="X354" s="509" t="s">
        <v>1194</v>
      </c>
      <c r="Y354" s="509" t="s">
        <v>2447</v>
      </c>
      <c r="AD354" s="514" t="s">
        <v>985</v>
      </c>
      <c r="AE354" s="514"/>
      <c r="AF354" s="509" t="s">
        <v>991</v>
      </c>
      <c r="AG354" s="883" t="s">
        <v>1951</v>
      </c>
      <c r="AH354" s="509" t="s">
        <v>985</v>
      </c>
      <c r="AI354" s="509"/>
      <c r="AJ354" s="514" t="s">
        <v>985</v>
      </c>
      <c r="AK354" s="514"/>
      <c r="AL354" s="515" t="s">
        <v>985</v>
      </c>
      <c r="AM354" s="509" t="s">
        <v>935</v>
      </c>
      <c r="AN354" s="883" t="s">
        <v>992</v>
      </c>
      <c r="AO354" s="509" t="s">
        <v>1904</v>
      </c>
      <c r="AP354" s="883" t="s">
        <v>2450</v>
      </c>
      <c r="AQ354" s="883" t="s">
        <v>2449</v>
      </c>
      <c r="AS354" s="126">
        <v>1500</v>
      </c>
      <c r="AT354" s="128">
        <v>1550</v>
      </c>
      <c r="AU354" s="405">
        <v>2</v>
      </c>
      <c r="AV354" s="405"/>
      <c r="AW354" s="405">
        <f>VLOOKUP(Таблица7[[#This Row],[Основное оружие]], Оружие[#All], 2, 0)</f>
        <v>6</v>
      </c>
      <c r="AX354" s="405" t="str">
        <f>IF(ISBLANK(Таблица7[[#This Row],[Дополнительное оружие]]),"", VLOOKUP(Таблица7[[#This Row],[Дополнительное оружие]], Оружие[#All], 2, 0))</f>
        <v/>
      </c>
      <c r="AY35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5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5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54" s="405">
        <f>VLOOKUP(Таблица7[[#This Row],[Основное оружие]], Оружие[#All], 3, 0)</f>
        <v>3</v>
      </c>
      <c r="BC354" s="405" t="str">
        <f>IF(ISBLANK(Таблица7[[#This Row],[Дополнительное оружие]]),"", VLOOKUP(Таблица7[[#This Row],[Дополнительное оружие]], Оружие[#All], 3, 0))</f>
        <v/>
      </c>
      <c r="BD35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5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5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5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4" s="405">
        <f>Таблица7[[#This Row],[Броня]]+Таблица7[[#This Row],[Щит]]+Таблица7[[#This Row],[навык защиты]]</f>
        <v>4</v>
      </c>
      <c r="BK354" s="1006"/>
      <c r="BL354" s="1006"/>
      <c r="BM354" s="392"/>
      <c r="BN354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54" s="392">
        <v>2</v>
      </c>
      <c r="BP354" s="392">
        <v>0</v>
      </c>
      <c r="BQ354" s="392">
        <v>-1</v>
      </c>
      <c r="BR354" s="392">
        <v>-1</v>
      </c>
      <c r="BS354" s="392">
        <v>1</v>
      </c>
      <c r="BT354" s="392">
        <v>7</v>
      </c>
      <c r="BU354" s="991" t="s">
        <v>1576</v>
      </c>
      <c r="BV354" s="991" t="s">
        <v>1843</v>
      </c>
      <c r="BW354" s="392"/>
      <c r="BX354" s="392"/>
      <c r="BY354" s="392"/>
      <c r="BZ354" s="129"/>
    </row>
    <row r="355" spans="1:78" s="126" customFormat="1" ht="40.5" customHeight="1" x14ac:dyDescent="0.25">
      <c r="A355" s="333">
        <v>354</v>
      </c>
      <c r="B355" s="883" t="s">
        <v>2445</v>
      </c>
      <c r="C355" s="883" t="s">
        <v>2446</v>
      </c>
      <c r="D355" s="509" t="s">
        <v>1556</v>
      </c>
      <c r="E355" s="126" t="s">
        <v>1546</v>
      </c>
      <c r="I355" s="638">
        <v>0.9</v>
      </c>
      <c r="J355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55" s="619">
        <f>Таблица7[[#This Row],[Размер отряда минимум]]*1.25</f>
        <v>112.5</v>
      </c>
      <c r="L355" s="619">
        <f>Таблица7[[#This Row],[Размер отряда норма]]*1.5</f>
        <v>168.75</v>
      </c>
      <c r="M355" s="620">
        <f>Таблица7[[#This Row],[Размер отряда минимум]]*2.5</f>
        <v>225</v>
      </c>
      <c r="N355" s="620"/>
      <c r="O355" s="620"/>
      <c r="P355" s="620"/>
      <c r="Q355" s="620"/>
      <c r="R355" s="126" t="s">
        <v>25</v>
      </c>
      <c r="S355" s="883" t="s">
        <v>2444</v>
      </c>
      <c r="T355" s="509" t="s">
        <v>976</v>
      </c>
      <c r="U355" s="751" t="s">
        <v>1751</v>
      </c>
      <c r="V355" s="885" t="s">
        <v>2448</v>
      </c>
      <c r="W355" s="509" t="s">
        <v>1001</v>
      </c>
      <c r="X355" s="509" t="s">
        <v>1194</v>
      </c>
      <c r="Y355" s="509" t="s">
        <v>2447</v>
      </c>
      <c r="AD355" s="514" t="s">
        <v>985</v>
      </c>
      <c r="AE355" s="514"/>
      <c r="AF355" s="509" t="s">
        <v>991</v>
      </c>
      <c r="AG355" s="883" t="s">
        <v>1951</v>
      </c>
      <c r="AH355" s="509" t="s">
        <v>985</v>
      </c>
      <c r="AI355" s="509"/>
      <c r="AJ355" s="514" t="s">
        <v>985</v>
      </c>
      <c r="AK355" s="514"/>
      <c r="AL355" s="515" t="s">
        <v>985</v>
      </c>
      <c r="AM355" s="509" t="s">
        <v>935</v>
      </c>
      <c r="AN355" s="883" t="s">
        <v>992</v>
      </c>
      <c r="AO355" s="509" t="s">
        <v>1904</v>
      </c>
      <c r="AP355" s="883" t="s">
        <v>2450</v>
      </c>
      <c r="AQ355" s="883" t="s">
        <v>2449</v>
      </c>
      <c r="AS355" s="126">
        <v>1550</v>
      </c>
      <c r="AT355" s="128"/>
      <c r="AU355" s="405">
        <v>2</v>
      </c>
      <c r="AV355" s="405"/>
      <c r="AW355" s="405">
        <f>VLOOKUP(Таблица7[[#This Row],[Основное оружие]], Оружие[#All], 2, 0)</f>
        <v>6</v>
      </c>
      <c r="AX355" s="405" t="str">
        <f>IF(ISBLANK(Таблица7[[#This Row],[Дополнительное оружие]]),"", VLOOKUP(Таблица7[[#This Row],[Дополнительное оружие]], Оружие[#All], 2, 0))</f>
        <v/>
      </c>
      <c r="AY35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5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5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55" s="405">
        <f>VLOOKUP(Таблица7[[#This Row],[Основное оружие]], Оружие[#All], 3, 0)</f>
        <v>3</v>
      </c>
      <c r="BC355" s="405" t="str">
        <f>IF(ISBLANK(Таблица7[[#This Row],[Дополнительное оружие]]),"", VLOOKUP(Таблица7[[#This Row],[Дополнительное оружие]], Оружие[#All], 3, 0))</f>
        <v/>
      </c>
      <c r="BD35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5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5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5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5" s="405">
        <f>Таблица7[[#This Row],[Броня]]+Таблица7[[#This Row],[Щит]]+Таблица7[[#This Row],[навык защиты]]</f>
        <v>4</v>
      </c>
      <c r="BK355" s="1006"/>
      <c r="BL355" s="1006"/>
      <c r="BM355" s="392"/>
      <c r="BN355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55" s="392">
        <v>2</v>
      </c>
      <c r="BP355" s="392">
        <v>0</v>
      </c>
      <c r="BQ355" s="392">
        <v>-1</v>
      </c>
      <c r="BR355" s="392">
        <v>-1</v>
      </c>
      <c r="BS355" s="392">
        <v>1</v>
      </c>
      <c r="BT355" s="392">
        <v>7</v>
      </c>
      <c r="BU355" s="991" t="s">
        <v>1576</v>
      </c>
      <c r="BV355" s="991" t="s">
        <v>1843</v>
      </c>
      <c r="BW355" s="392"/>
      <c r="BX355" s="392"/>
      <c r="BY355" s="392"/>
      <c r="BZ355" s="129"/>
    </row>
    <row r="356" spans="1:78" s="126" customFormat="1" ht="40.5" customHeight="1" x14ac:dyDescent="0.25">
      <c r="A356" s="333">
        <v>355</v>
      </c>
      <c r="B356" s="677" t="s">
        <v>1752</v>
      </c>
      <c r="C356" s="883" t="s">
        <v>2451</v>
      </c>
      <c r="D356" s="509" t="s">
        <v>1556</v>
      </c>
      <c r="E356" s="126" t="s">
        <v>1448</v>
      </c>
      <c r="I356" s="638">
        <v>0.9</v>
      </c>
      <c r="J356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356" s="619">
        <f>Таблица7[[#This Row],[Размер отряда минимум]]*1.25</f>
        <v>101.25</v>
      </c>
      <c r="L356" s="619">
        <f>Таблица7[[#This Row],[Размер отряда норма]]*1.5</f>
        <v>151.875</v>
      </c>
      <c r="M356" s="620">
        <f>Таблица7[[#This Row],[Размер отряда минимум]]*2.5</f>
        <v>202.5</v>
      </c>
      <c r="N356" s="620"/>
      <c r="O356" s="620"/>
      <c r="P356" s="620"/>
      <c r="Q356" s="620"/>
      <c r="R356" s="126" t="s">
        <v>25</v>
      </c>
      <c r="S356" s="883" t="s">
        <v>2444</v>
      </c>
      <c r="T356" s="509" t="s">
        <v>975</v>
      </c>
      <c r="U356" s="884" t="s">
        <v>1753</v>
      </c>
      <c r="V356" s="885" t="s">
        <v>2452</v>
      </c>
      <c r="W356" s="509" t="s">
        <v>993</v>
      </c>
      <c r="X356" s="509" t="s">
        <v>994</v>
      </c>
      <c r="Y356" s="883" t="s">
        <v>1932</v>
      </c>
      <c r="AA356" s="883"/>
      <c r="AD356" s="514" t="s">
        <v>1158</v>
      </c>
      <c r="AE356" s="514" t="s">
        <v>1962</v>
      </c>
      <c r="AF356" s="126" t="s">
        <v>1211</v>
      </c>
      <c r="AG356" s="126" t="s">
        <v>1963</v>
      </c>
      <c r="AH356" s="509" t="s">
        <v>985</v>
      </c>
      <c r="AI356" s="509"/>
      <c r="AJ356" s="514" t="s">
        <v>985</v>
      </c>
      <c r="AK356" s="514"/>
      <c r="AL356" s="515" t="s">
        <v>985</v>
      </c>
      <c r="AM356" s="509" t="s">
        <v>978</v>
      </c>
      <c r="AN356" s="883" t="s">
        <v>992</v>
      </c>
      <c r="AO356" s="883" t="s">
        <v>1904</v>
      </c>
      <c r="AP356" s="883" t="s">
        <v>2450</v>
      </c>
      <c r="AQ356" s="883" t="s">
        <v>2449</v>
      </c>
      <c r="AS356" s="126">
        <v>1514</v>
      </c>
      <c r="AT356" s="128">
        <v>1550</v>
      </c>
      <c r="AU356" s="405">
        <v>7</v>
      </c>
      <c r="AV356" s="405"/>
      <c r="AW356" s="405">
        <f>VLOOKUP(Таблица7[[#This Row],[Основное оружие]], Оружие[#All], 2, 0)</f>
        <v>1</v>
      </c>
      <c r="AX356" s="405" t="str">
        <f>IF(ISBLANK(Таблица7[[#This Row],[Дополнительное оружие]]),"", VLOOKUP(Таблица7[[#This Row],[Дополнительное оружие]], Оружие[#All], 2, 0))</f>
        <v/>
      </c>
      <c r="AY35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5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356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56" s="405">
        <f>VLOOKUP(Таблица7[[#This Row],[Основное оружие]], Оружие[#All], 3, 0)</f>
        <v>1</v>
      </c>
      <c r="BC356" s="405" t="str">
        <f>IF(ISBLANK(Таблица7[[#This Row],[Дополнительное оружие]]),"", VLOOKUP(Таблица7[[#This Row],[Дополнительное оружие]], Оружие[#All], 3, 0))</f>
        <v/>
      </c>
      <c r="BD35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5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5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35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6" s="405">
        <f>Таблица7[[#This Row],[Броня]]+Таблица7[[#This Row],[Щит]]+Таблица7[[#This Row],[навык защиты]]</f>
        <v>18</v>
      </c>
      <c r="BK356" s="1006"/>
      <c r="BL356" s="1006"/>
      <c r="BM356" s="392"/>
      <c r="BN356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56" s="392">
        <v>2</v>
      </c>
      <c r="BP356" s="392">
        <v>-1</v>
      </c>
      <c r="BQ356" s="392">
        <v>-1</v>
      </c>
      <c r="BR356" s="392">
        <v>-2</v>
      </c>
      <c r="BS356" s="392">
        <v>1</v>
      </c>
      <c r="BT356" s="392">
        <v>11</v>
      </c>
      <c r="BU356" s="991" t="s">
        <v>1840</v>
      </c>
      <c r="BV356" s="991" t="s">
        <v>1844</v>
      </c>
      <c r="BW356" s="392"/>
      <c r="BX356" s="392"/>
      <c r="BY356" s="392"/>
      <c r="BZ356" s="129"/>
    </row>
    <row r="357" spans="1:78" s="126" customFormat="1" ht="40.5" customHeight="1" x14ac:dyDescent="0.25">
      <c r="A357" s="333">
        <v>356</v>
      </c>
      <c r="B357" s="677" t="s">
        <v>1752</v>
      </c>
      <c r="C357" s="883" t="s">
        <v>2451</v>
      </c>
      <c r="D357" s="509" t="s">
        <v>1556</v>
      </c>
      <c r="E357" s="126" t="s">
        <v>1448</v>
      </c>
      <c r="I357" s="638">
        <v>0.9</v>
      </c>
      <c r="J357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57" s="619">
        <f>Таблица7[[#This Row],[Размер отряда минимум]]*1.25</f>
        <v>112.5</v>
      </c>
      <c r="L357" s="619">
        <f>Таблица7[[#This Row],[Размер отряда норма]]*1.5</f>
        <v>168.75</v>
      </c>
      <c r="M357" s="620">
        <f>Таблица7[[#This Row],[Размер отряда минимум]]*2.5</f>
        <v>225</v>
      </c>
      <c r="N357" s="620"/>
      <c r="O357" s="620"/>
      <c r="P357" s="620"/>
      <c r="Q357" s="620"/>
      <c r="R357" s="126" t="s">
        <v>25</v>
      </c>
      <c r="S357" s="883" t="s">
        <v>2444</v>
      </c>
      <c r="T357" s="509" t="s">
        <v>976</v>
      </c>
      <c r="U357" s="751" t="s">
        <v>1753</v>
      </c>
      <c r="V357" s="885" t="s">
        <v>2452</v>
      </c>
      <c r="W357" s="509" t="s">
        <v>993</v>
      </c>
      <c r="X357" s="509" t="s">
        <v>994</v>
      </c>
      <c r="Y357" s="883" t="s">
        <v>1932</v>
      </c>
      <c r="AA357" s="883"/>
      <c r="AD357" s="514" t="s">
        <v>1158</v>
      </c>
      <c r="AE357" s="514" t="s">
        <v>1962</v>
      </c>
      <c r="AF357" s="126" t="s">
        <v>1211</v>
      </c>
      <c r="AG357" s="883" t="s">
        <v>1963</v>
      </c>
      <c r="AH357" s="509" t="s">
        <v>985</v>
      </c>
      <c r="AI357" s="509"/>
      <c r="AJ357" s="514" t="s">
        <v>985</v>
      </c>
      <c r="AK357" s="514"/>
      <c r="AL357" s="515" t="s">
        <v>985</v>
      </c>
      <c r="AM357" s="509" t="s">
        <v>978</v>
      </c>
      <c r="AN357" s="883" t="s">
        <v>992</v>
      </c>
      <c r="AO357" s="509" t="s">
        <v>1904</v>
      </c>
      <c r="AP357" s="883" t="s">
        <v>2450</v>
      </c>
      <c r="AQ357" s="883" t="s">
        <v>2449</v>
      </c>
      <c r="AS357" s="126">
        <v>1550</v>
      </c>
      <c r="AT357" s="128"/>
      <c r="AU357" s="405">
        <v>4</v>
      </c>
      <c r="AV357" s="405"/>
      <c r="AW357" s="405">
        <f>VLOOKUP(Таблица7[[#This Row],[Основное оружие]], Оружие[#All], 2, 0)</f>
        <v>1</v>
      </c>
      <c r="AX357" s="405" t="str">
        <f>IF(ISBLANK(Таблица7[[#This Row],[Дополнительное оружие]]),"", VLOOKUP(Таблица7[[#This Row],[Дополнительное оружие]], Оружие[#All], 2, 0))</f>
        <v/>
      </c>
      <c r="AY35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35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3</v>
      </c>
      <c r="BA357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57" s="405">
        <f>VLOOKUP(Таблица7[[#This Row],[Основное оружие]], Оружие[#All], 3, 0)</f>
        <v>1</v>
      </c>
      <c r="BC357" s="405" t="str">
        <f>IF(ISBLANK(Таблица7[[#This Row],[Дополнительное оружие]]),"", VLOOKUP(Таблица7[[#This Row],[Дополнительное оружие]], Оружие[#All], 3, 0))</f>
        <v/>
      </c>
      <c r="BD35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5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5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5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7" s="405">
        <f>Таблица7[[#This Row],[Броня]]+Таблица7[[#This Row],[Щит]]+Таблица7[[#This Row],[навык защиты]]</f>
        <v>15</v>
      </c>
      <c r="BK357" s="1006"/>
      <c r="BL357" s="1006"/>
      <c r="BM357" s="392"/>
      <c r="BN357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57" s="392">
        <v>2</v>
      </c>
      <c r="BP357" s="392">
        <v>-1</v>
      </c>
      <c r="BQ357" s="392">
        <v>-1</v>
      </c>
      <c r="BR357" s="392">
        <v>-2</v>
      </c>
      <c r="BS357" s="392">
        <v>1</v>
      </c>
      <c r="BT357" s="392">
        <v>8</v>
      </c>
      <c r="BU357" s="991" t="s">
        <v>1840</v>
      </c>
      <c r="BV357" s="991" t="s">
        <v>1844</v>
      </c>
      <c r="BW357" s="392"/>
      <c r="BX357" s="392"/>
      <c r="BY357" s="392"/>
      <c r="BZ357" s="129"/>
    </row>
    <row r="358" spans="1:78" s="126" customFormat="1" ht="40.5" customHeight="1" x14ac:dyDescent="0.25">
      <c r="A358" s="333">
        <v>357</v>
      </c>
      <c r="B358" s="883" t="s">
        <v>2457</v>
      </c>
      <c r="C358" s="883" t="s">
        <v>2453</v>
      </c>
      <c r="D358" s="509" t="s">
        <v>1556</v>
      </c>
      <c r="E358" s="126" t="s">
        <v>1448</v>
      </c>
      <c r="I358" s="638">
        <v>0.9</v>
      </c>
      <c r="J358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358" s="619">
        <f>Таблица7[[#This Row],[Размер отряда минимум]]*1.25</f>
        <v>101.25</v>
      </c>
      <c r="L358" s="619">
        <f>Таблица7[[#This Row],[Размер отряда норма]]*1.5</f>
        <v>151.875</v>
      </c>
      <c r="M358" s="620">
        <f>Таблица7[[#This Row],[Размер отряда минимум]]*2.5</f>
        <v>202.5</v>
      </c>
      <c r="N358" s="620"/>
      <c r="O358" s="620"/>
      <c r="P358" s="620"/>
      <c r="Q358" s="620"/>
      <c r="R358" s="126" t="s">
        <v>25</v>
      </c>
      <c r="S358" s="883" t="s">
        <v>2444</v>
      </c>
      <c r="T358" s="509" t="s">
        <v>975</v>
      </c>
      <c r="U358" s="884" t="s">
        <v>1755</v>
      </c>
      <c r="V358" s="885" t="s">
        <v>2454</v>
      </c>
      <c r="W358" s="509" t="s">
        <v>993</v>
      </c>
      <c r="X358" s="509" t="s">
        <v>996</v>
      </c>
      <c r="Y358" s="883" t="s">
        <v>1973</v>
      </c>
      <c r="AD358" s="514" t="s">
        <v>1158</v>
      </c>
      <c r="AE358" s="514" t="s">
        <v>1962</v>
      </c>
      <c r="AF358" s="126" t="s">
        <v>1211</v>
      </c>
      <c r="AG358" s="126" t="s">
        <v>1963</v>
      </c>
      <c r="AH358" s="509" t="s">
        <v>985</v>
      </c>
      <c r="AI358" s="509"/>
      <c r="AJ358" s="514" t="s">
        <v>985</v>
      </c>
      <c r="AK358" s="514"/>
      <c r="AL358" s="515" t="s">
        <v>985</v>
      </c>
      <c r="AM358" s="509" t="s">
        <v>978</v>
      </c>
      <c r="AN358" s="883" t="s">
        <v>992</v>
      </c>
      <c r="AO358" s="509" t="s">
        <v>1904</v>
      </c>
      <c r="AP358" s="883" t="s">
        <v>2450</v>
      </c>
      <c r="AQ358" s="883" t="s">
        <v>2449</v>
      </c>
      <c r="AS358" s="126">
        <v>1500</v>
      </c>
      <c r="AT358" s="128">
        <v>1550</v>
      </c>
      <c r="AU358" s="405">
        <v>6</v>
      </c>
      <c r="AV358" s="405"/>
      <c r="AW358" s="405">
        <f>VLOOKUP(Таблица7[[#This Row],[Основное оружие]], Оружие[#All], 2, 0)</f>
        <v>7</v>
      </c>
      <c r="AX358" s="405" t="str">
        <f>IF(ISBLANK(Таблица7[[#This Row],[Дополнительное оружие]]),"", VLOOKUP(Таблица7[[#This Row],[Дополнительное оружие]], Оружие[#All], 2, 0))</f>
        <v/>
      </c>
      <c r="AY35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35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35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58" s="405">
        <f>VLOOKUP(Таблица7[[#This Row],[Основное оружие]], Оружие[#All], 3, 0)</f>
        <v>3</v>
      </c>
      <c r="BC358" s="405" t="str">
        <f>IF(ISBLANK(Таблица7[[#This Row],[Дополнительное оружие]]),"", VLOOKUP(Таблица7[[#This Row],[Дополнительное оружие]], Оружие[#All], 3, 0))</f>
        <v/>
      </c>
      <c r="BD35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5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5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5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8" s="405">
        <f>Таблица7[[#This Row],[Броня]]+Таблица7[[#This Row],[Щит]]+Таблица7[[#This Row],[навык защиты]]</f>
        <v>19</v>
      </c>
      <c r="BK358" s="1006"/>
      <c r="BL358" s="1006"/>
      <c r="BM358" s="392"/>
      <c r="BN358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58" s="392">
        <v>2</v>
      </c>
      <c r="BP358" s="392">
        <v>0</v>
      </c>
      <c r="BQ358" s="392">
        <v>-1</v>
      </c>
      <c r="BR358" s="392">
        <v>-1</v>
      </c>
      <c r="BS358" s="392">
        <v>1</v>
      </c>
      <c r="BT358" s="392">
        <v>10</v>
      </c>
      <c r="BU358" s="991" t="s">
        <v>1840</v>
      </c>
      <c r="BV358" s="991" t="s">
        <v>1844</v>
      </c>
      <c r="BW358" s="392"/>
      <c r="BX358" s="392"/>
      <c r="BY358" s="392"/>
      <c r="BZ358" s="129"/>
    </row>
    <row r="359" spans="1:78" s="126" customFormat="1" ht="40.5" customHeight="1" x14ac:dyDescent="0.25">
      <c r="A359" s="333">
        <v>358</v>
      </c>
      <c r="B359" s="883" t="s">
        <v>2457</v>
      </c>
      <c r="C359" s="883" t="s">
        <v>2453</v>
      </c>
      <c r="D359" s="509" t="s">
        <v>1556</v>
      </c>
      <c r="E359" s="126" t="s">
        <v>1448</v>
      </c>
      <c r="I359" s="638">
        <v>0.9</v>
      </c>
      <c r="J359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59" s="619">
        <f>Таблица7[[#This Row],[Размер отряда минимум]]*1.25</f>
        <v>112.5</v>
      </c>
      <c r="L359" s="619">
        <f>Таблица7[[#This Row],[Размер отряда норма]]*1.5</f>
        <v>168.75</v>
      </c>
      <c r="M359" s="620">
        <f>Таблица7[[#This Row],[Размер отряда минимум]]*2.5</f>
        <v>225</v>
      </c>
      <c r="N359" s="620"/>
      <c r="O359" s="620"/>
      <c r="P359" s="620"/>
      <c r="Q359" s="620"/>
      <c r="R359" s="126" t="s">
        <v>25</v>
      </c>
      <c r="S359" s="883" t="s">
        <v>2444</v>
      </c>
      <c r="T359" s="509" t="s">
        <v>976</v>
      </c>
      <c r="U359" s="751" t="s">
        <v>1755</v>
      </c>
      <c r="V359" s="885" t="s">
        <v>2454</v>
      </c>
      <c r="W359" s="509" t="s">
        <v>993</v>
      </c>
      <c r="X359" s="509" t="s">
        <v>996</v>
      </c>
      <c r="Y359" s="883" t="s">
        <v>1973</v>
      </c>
      <c r="AD359" s="514" t="s">
        <v>1158</v>
      </c>
      <c r="AE359" s="884" t="s">
        <v>1962</v>
      </c>
      <c r="AF359" s="126" t="s">
        <v>1211</v>
      </c>
      <c r="AG359" s="126" t="s">
        <v>1963</v>
      </c>
      <c r="AH359" s="509" t="s">
        <v>985</v>
      </c>
      <c r="AI359" s="509"/>
      <c r="AJ359" s="514" t="s">
        <v>985</v>
      </c>
      <c r="AK359" s="514"/>
      <c r="AL359" s="515" t="s">
        <v>985</v>
      </c>
      <c r="AM359" s="509" t="s">
        <v>978</v>
      </c>
      <c r="AN359" s="883" t="s">
        <v>992</v>
      </c>
      <c r="AO359" s="509" t="s">
        <v>1904</v>
      </c>
      <c r="AP359" s="883" t="s">
        <v>2450</v>
      </c>
      <c r="AQ359" s="883" t="s">
        <v>2449</v>
      </c>
      <c r="AS359" s="126">
        <v>1550</v>
      </c>
      <c r="AT359" s="128"/>
      <c r="AU359" s="405">
        <v>3</v>
      </c>
      <c r="AV359" s="405"/>
      <c r="AW359" s="405">
        <f>VLOOKUP(Таблица7[[#This Row],[Основное оружие]], Оружие[#All], 2, 0)</f>
        <v>7</v>
      </c>
      <c r="AX359" s="405" t="str">
        <f>IF(ISBLANK(Таблица7[[#This Row],[Дополнительное оружие]]),"", VLOOKUP(Таблица7[[#This Row],[Дополнительное оружие]], Оружие[#All], 2, 0))</f>
        <v/>
      </c>
      <c r="AY35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5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5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59" s="405">
        <f>VLOOKUP(Таблица7[[#This Row],[Основное оружие]], Оружие[#All], 3, 0)</f>
        <v>3</v>
      </c>
      <c r="BC359" s="405" t="str">
        <f>IF(ISBLANK(Таблица7[[#This Row],[Дополнительное оружие]]),"", VLOOKUP(Таблица7[[#This Row],[Дополнительное оружие]], Оружие[#All], 3, 0))</f>
        <v/>
      </c>
      <c r="BD35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5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5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5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5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5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59" s="405">
        <f>Таблица7[[#This Row],[Броня]]+Таблица7[[#This Row],[Щит]]+Таблица7[[#This Row],[навык защиты]]</f>
        <v>16</v>
      </c>
      <c r="BK359" s="1006"/>
      <c r="BL359" s="1006"/>
      <c r="BM359" s="392"/>
      <c r="BN359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59" s="392">
        <v>2</v>
      </c>
      <c r="BP359" s="392">
        <v>0</v>
      </c>
      <c r="BQ359" s="392">
        <v>-1</v>
      </c>
      <c r="BR359" s="392">
        <v>-1</v>
      </c>
      <c r="BS359" s="392">
        <v>1</v>
      </c>
      <c r="BT359" s="392">
        <v>7</v>
      </c>
      <c r="BU359" s="991" t="s">
        <v>1576</v>
      </c>
      <c r="BV359" s="991" t="s">
        <v>1843</v>
      </c>
      <c r="BW359" s="392"/>
      <c r="BX359" s="392"/>
      <c r="BY359" s="392"/>
      <c r="BZ359" s="129"/>
    </row>
    <row r="360" spans="1:78" s="126" customFormat="1" ht="40.5" customHeight="1" x14ac:dyDescent="0.25">
      <c r="A360" s="333">
        <v>359</v>
      </c>
      <c r="B360" s="883" t="s">
        <v>2458</v>
      </c>
      <c r="C360" s="883" t="s">
        <v>2455</v>
      </c>
      <c r="D360" s="509" t="s">
        <v>1556</v>
      </c>
      <c r="E360" s="126" t="s">
        <v>1448</v>
      </c>
      <c r="I360" s="638">
        <v>0.9</v>
      </c>
      <c r="J360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360" s="619">
        <f>Таблица7[[#This Row],[Размер отряда минимум]]*1.25</f>
        <v>101.25</v>
      </c>
      <c r="L360" s="619">
        <f>Таблица7[[#This Row],[Размер отряда норма]]*1.5</f>
        <v>151.875</v>
      </c>
      <c r="M360" s="620">
        <f>Таблица7[[#This Row],[Размер отряда минимум]]*2.5</f>
        <v>202.5</v>
      </c>
      <c r="N360" s="620"/>
      <c r="O360" s="620"/>
      <c r="P360" s="620"/>
      <c r="Q360" s="620"/>
      <c r="R360" s="126" t="s">
        <v>25</v>
      </c>
      <c r="S360" s="883" t="s">
        <v>2444</v>
      </c>
      <c r="T360" s="509" t="s">
        <v>975</v>
      </c>
      <c r="U360" s="884" t="s">
        <v>1756</v>
      </c>
      <c r="V360" s="885" t="s">
        <v>2456</v>
      </c>
      <c r="W360" s="509" t="s">
        <v>993</v>
      </c>
      <c r="X360" s="509" t="s">
        <v>994</v>
      </c>
      <c r="Y360" s="883" t="s">
        <v>1932</v>
      </c>
      <c r="AA360" s="883"/>
      <c r="AD360" s="514" t="s">
        <v>1158</v>
      </c>
      <c r="AE360" s="514" t="s">
        <v>1962</v>
      </c>
      <c r="AF360" s="126" t="s">
        <v>1211</v>
      </c>
      <c r="AG360" s="126" t="s">
        <v>1963</v>
      </c>
      <c r="AH360" s="509" t="s">
        <v>985</v>
      </c>
      <c r="AI360" s="509"/>
      <c r="AJ360" s="514" t="s">
        <v>985</v>
      </c>
      <c r="AK360" s="514"/>
      <c r="AL360" s="515" t="s">
        <v>985</v>
      </c>
      <c r="AM360" s="509" t="s">
        <v>977</v>
      </c>
      <c r="AN360" s="883" t="s">
        <v>992</v>
      </c>
      <c r="AO360" s="883" t="s">
        <v>1904</v>
      </c>
      <c r="AP360" s="883" t="s">
        <v>2450</v>
      </c>
      <c r="AQ360" s="883" t="s">
        <v>2449</v>
      </c>
      <c r="AS360" s="126">
        <v>1500</v>
      </c>
      <c r="AT360" s="128">
        <v>1550</v>
      </c>
      <c r="AU360" s="405">
        <v>6</v>
      </c>
      <c r="AV360" s="405"/>
      <c r="AW360" s="405">
        <f>VLOOKUP(Таблица7[[#This Row],[Основное оружие]], Оружие[#All], 2, 0)</f>
        <v>1</v>
      </c>
      <c r="AX360" s="405" t="str">
        <f>IF(ISBLANK(Таблица7[[#This Row],[Дополнительное оружие]]),"", VLOOKUP(Таблица7[[#This Row],[Дополнительное оружие]], Оружие[#All], 2, 0))</f>
        <v/>
      </c>
      <c r="AY36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6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360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60" s="405">
        <f>VLOOKUP(Таблица7[[#This Row],[Основное оружие]], Оружие[#All], 3, 0)</f>
        <v>1</v>
      </c>
      <c r="BC360" s="405" t="str">
        <f>IF(ISBLANK(Таблица7[[#This Row],[Дополнительное оружие]]),"", VLOOKUP(Таблица7[[#This Row],[Дополнительное оружие]], Оружие[#All], 3, 0))</f>
        <v/>
      </c>
      <c r="BD36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6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6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6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6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0" s="405">
        <f>Таблица7[[#This Row],[Броня]]+Таблица7[[#This Row],[Щит]]+Таблица7[[#This Row],[навык защиты]]</f>
        <v>17</v>
      </c>
      <c r="BK360" s="1006"/>
      <c r="BL360" s="1006"/>
      <c r="BM360" s="392"/>
      <c r="BN360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60" s="392">
        <v>2</v>
      </c>
      <c r="BP360" s="392">
        <v>-1</v>
      </c>
      <c r="BQ360" s="392">
        <v>-1</v>
      </c>
      <c r="BR360" s="392">
        <v>-2</v>
      </c>
      <c r="BS360" s="392">
        <v>1</v>
      </c>
      <c r="BT360" s="392">
        <v>10</v>
      </c>
      <c r="BU360" s="991" t="s">
        <v>1840</v>
      </c>
      <c r="BV360" s="991" t="s">
        <v>1844</v>
      </c>
      <c r="BW360" s="392"/>
      <c r="BX360" s="392"/>
      <c r="BY360" s="392"/>
      <c r="BZ360" s="129"/>
    </row>
    <row r="361" spans="1:78" s="126" customFormat="1" ht="40.5" customHeight="1" x14ac:dyDescent="0.25">
      <c r="A361" s="333">
        <v>360</v>
      </c>
      <c r="B361" s="883" t="s">
        <v>2458</v>
      </c>
      <c r="C361" s="883" t="s">
        <v>2455</v>
      </c>
      <c r="D361" s="509" t="s">
        <v>1556</v>
      </c>
      <c r="E361" s="126" t="s">
        <v>1448</v>
      </c>
      <c r="I361" s="638">
        <v>0.9</v>
      </c>
      <c r="J361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61" s="619">
        <f>Таблица7[[#This Row],[Размер отряда минимум]]*1.25</f>
        <v>112.5</v>
      </c>
      <c r="L361" s="619">
        <f>Таблица7[[#This Row],[Размер отряда норма]]*1.5</f>
        <v>168.75</v>
      </c>
      <c r="M361" s="620">
        <f>Таблица7[[#This Row],[Размер отряда минимум]]*2.5</f>
        <v>225</v>
      </c>
      <c r="N361" s="620"/>
      <c r="O361" s="620"/>
      <c r="P361" s="620"/>
      <c r="Q361" s="620"/>
      <c r="R361" s="126" t="s">
        <v>25</v>
      </c>
      <c r="S361" s="883" t="s">
        <v>2444</v>
      </c>
      <c r="T361" s="509" t="s">
        <v>976</v>
      </c>
      <c r="U361" s="751" t="s">
        <v>1756</v>
      </c>
      <c r="V361" s="885" t="s">
        <v>2456</v>
      </c>
      <c r="W361" s="509" t="s">
        <v>993</v>
      </c>
      <c r="X361" s="509" t="s">
        <v>994</v>
      </c>
      <c r="Y361" s="883" t="s">
        <v>1932</v>
      </c>
      <c r="AA361" s="883"/>
      <c r="AD361" s="514" t="s">
        <v>1158</v>
      </c>
      <c r="AE361" s="514" t="s">
        <v>1962</v>
      </c>
      <c r="AF361" s="126" t="s">
        <v>1211</v>
      </c>
      <c r="AG361" s="126" t="s">
        <v>1963</v>
      </c>
      <c r="AH361" s="509" t="s">
        <v>985</v>
      </c>
      <c r="AI361" s="509"/>
      <c r="AJ361" s="514" t="s">
        <v>985</v>
      </c>
      <c r="AK361" s="514"/>
      <c r="AL361" s="515" t="s">
        <v>985</v>
      </c>
      <c r="AM361" s="509" t="s">
        <v>977</v>
      </c>
      <c r="AN361" s="883" t="s">
        <v>992</v>
      </c>
      <c r="AO361" s="509" t="s">
        <v>1904</v>
      </c>
      <c r="AP361" s="883" t="s">
        <v>2450</v>
      </c>
      <c r="AQ361" s="883" t="s">
        <v>2449</v>
      </c>
      <c r="AS361" s="126">
        <v>1550</v>
      </c>
      <c r="AT361" s="128"/>
      <c r="AU361" s="405">
        <v>3</v>
      </c>
      <c r="AV361" s="405"/>
      <c r="AW361" s="405">
        <f>VLOOKUP(Таблица7[[#This Row],[Основное оружие]], Оружие[#All], 2, 0)</f>
        <v>1</v>
      </c>
      <c r="AX361" s="405" t="str">
        <f>IF(ISBLANK(Таблица7[[#This Row],[Дополнительное оружие]]),"", VLOOKUP(Таблица7[[#This Row],[Дополнительное оружие]], Оружие[#All], 2, 0))</f>
        <v/>
      </c>
      <c r="AY36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</v>
      </c>
      <c r="AZ36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2</v>
      </c>
      <c r="BA361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61" s="405">
        <f>VLOOKUP(Таблица7[[#This Row],[Основное оружие]], Оружие[#All], 3, 0)</f>
        <v>1</v>
      </c>
      <c r="BC361" s="405" t="str">
        <f>IF(ISBLANK(Таблица7[[#This Row],[Дополнительное оружие]]),"", VLOOKUP(Таблица7[[#This Row],[Дополнительное оружие]], Оружие[#All], 3, 0))</f>
        <v/>
      </c>
      <c r="BD36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6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6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6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36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1" s="405">
        <f>Таблица7[[#This Row],[Броня]]+Таблица7[[#This Row],[Щит]]+Таблица7[[#This Row],[навык защиты]]</f>
        <v>14</v>
      </c>
      <c r="BK361" s="1006"/>
      <c r="BL361" s="1006"/>
      <c r="BM361" s="392"/>
      <c r="BN361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61" s="392">
        <v>2</v>
      </c>
      <c r="BP361" s="392">
        <v>-1</v>
      </c>
      <c r="BQ361" s="392">
        <v>-1</v>
      </c>
      <c r="BR361" s="392">
        <v>-2</v>
      </c>
      <c r="BS361" s="392">
        <v>1</v>
      </c>
      <c r="BT361" s="392">
        <v>7</v>
      </c>
      <c r="BU361" s="991" t="s">
        <v>1576</v>
      </c>
      <c r="BV361" s="991" t="s">
        <v>1843</v>
      </c>
      <c r="BW361" s="392"/>
      <c r="BX361" s="392"/>
      <c r="BY361" s="392"/>
      <c r="BZ361" s="129"/>
    </row>
    <row r="362" spans="1:78" s="126" customFormat="1" ht="40.5" customHeight="1" x14ac:dyDescent="0.25">
      <c r="A362" s="333">
        <v>361</v>
      </c>
      <c r="B362" s="883" t="s">
        <v>2459</v>
      </c>
      <c r="C362" s="883" t="s">
        <v>2460</v>
      </c>
      <c r="D362" s="509" t="s">
        <v>1556</v>
      </c>
      <c r="E362" s="509" t="s">
        <v>1621</v>
      </c>
      <c r="F362" s="509"/>
      <c r="G362" s="509"/>
      <c r="H362" s="509"/>
      <c r="I362" s="638">
        <v>0.9</v>
      </c>
      <c r="J362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72</v>
      </c>
      <c r="K362" s="619">
        <f>Таблица7[[#This Row],[Размер отряда минимум]]*1.25</f>
        <v>90</v>
      </c>
      <c r="L362" s="619">
        <f>Таблица7[[#This Row],[Размер отряда норма]]*1.5</f>
        <v>135</v>
      </c>
      <c r="M362" s="620">
        <f>Таблица7[[#This Row],[Размер отряда минимум]]*2.5</f>
        <v>180</v>
      </c>
      <c r="N362" s="620"/>
      <c r="O362" s="620"/>
      <c r="P362" s="620"/>
      <c r="Q362" s="620"/>
      <c r="R362" s="126" t="s">
        <v>25</v>
      </c>
      <c r="S362" s="883" t="s">
        <v>2444</v>
      </c>
      <c r="T362" s="509" t="s">
        <v>975</v>
      </c>
      <c r="U362" s="884" t="s">
        <v>1757</v>
      </c>
      <c r="V362" s="885" t="s">
        <v>2461</v>
      </c>
      <c r="W362" s="509" t="s">
        <v>993</v>
      </c>
      <c r="X362" s="509" t="s">
        <v>994</v>
      </c>
      <c r="Y362" s="883" t="s">
        <v>1932</v>
      </c>
      <c r="AA362" s="883"/>
      <c r="AD362" s="514" t="s">
        <v>1482</v>
      </c>
      <c r="AE362" s="514" t="s">
        <v>1975</v>
      </c>
      <c r="AF362" s="509" t="s">
        <v>1481</v>
      </c>
      <c r="AG362" s="509" t="s">
        <v>1978</v>
      </c>
      <c r="AH362" s="509" t="s">
        <v>985</v>
      </c>
      <c r="AI362" s="509"/>
      <c r="AJ362" s="514" t="s">
        <v>1004</v>
      </c>
      <c r="AK362" s="886" t="s">
        <v>1952</v>
      </c>
      <c r="AL362" s="515" t="s">
        <v>985</v>
      </c>
      <c r="AM362" s="932" t="s">
        <v>935</v>
      </c>
      <c r="AN362" s="883" t="s">
        <v>2380</v>
      </c>
      <c r="AO362" s="883" t="s">
        <v>2063</v>
      </c>
      <c r="AP362" s="932" t="s">
        <v>2737</v>
      </c>
      <c r="AQ362" s="932" t="s">
        <v>2738</v>
      </c>
      <c r="AS362" s="126">
        <v>1500</v>
      </c>
      <c r="AT362" s="128">
        <v>1550</v>
      </c>
      <c r="AU362" s="405">
        <v>8</v>
      </c>
      <c r="AV362" s="405"/>
      <c r="AW362" s="405">
        <f>VLOOKUP(Таблица7[[#This Row],[Основное оружие]], Оружие[#All], 2, 0)</f>
        <v>1</v>
      </c>
      <c r="AX362" s="405" t="str">
        <f>IF(ISBLANK(Таблица7[[#This Row],[Дополнительное оружие]]),"", VLOOKUP(Таблица7[[#This Row],[Дополнительное оружие]], Оружие[#All], 2, 0))</f>
        <v/>
      </c>
      <c r="AY36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6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362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62" s="405">
        <f>VLOOKUP(Таблица7[[#This Row],[Основное оружие]], Оружие[#All], 3, 0)</f>
        <v>1</v>
      </c>
      <c r="BC362" s="405" t="str">
        <f>IF(ISBLANK(Таблица7[[#This Row],[Дополнительное оружие]]),"", VLOOKUP(Таблица7[[#This Row],[Дополнительное оружие]], Оружие[#All], 3, 0))</f>
        <v/>
      </c>
      <c r="BD36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6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6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6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36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2" s="405">
        <f>Таблица7[[#This Row],[Броня]]+Таблица7[[#This Row],[Щит]]+Таблица7[[#This Row],[навык защиты]]</f>
        <v>23</v>
      </c>
      <c r="BK362" s="1006"/>
      <c r="BL362" s="1006"/>
      <c r="BM362" s="392"/>
      <c r="BN362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62" s="392">
        <v>2</v>
      </c>
      <c r="BP362" s="392">
        <v>-1</v>
      </c>
      <c r="BQ362" s="392">
        <v>-1</v>
      </c>
      <c r="BR362" s="392">
        <v>-2</v>
      </c>
      <c r="BS362" s="392">
        <v>1</v>
      </c>
      <c r="BT362" s="392">
        <v>10</v>
      </c>
      <c r="BU362" s="991" t="s">
        <v>1840</v>
      </c>
      <c r="BV362" s="991" t="s">
        <v>1844</v>
      </c>
      <c r="BW362" s="392"/>
      <c r="BX362" s="392"/>
      <c r="BY362" s="392"/>
      <c r="BZ362" s="129"/>
    </row>
    <row r="363" spans="1:78" s="126" customFormat="1" ht="40.5" customHeight="1" x14ac:dyDescent="0.25">
      <c r="A363" s="333">
        <v>362</v>
      </c>
      <c r="B363" s="883" t="s">
        <v>2459</v>
      </c>
      <c r="C363" s="883" t="s">
        <v>2460</v>
      </c>
      <c r="D363" s="509" t="s">
        <v>1556</v>
      </c>
      <c r="E363" s="509" t="s">
        <v>1621</v>
      </c>
      <c r="F363" s="509"/>
      <c r="G363" s="509"/>
      <c r="H363" s="509"/>
      <c r="I363" s="638">
        <v>0.9</v>
      </c>
      <c r="J363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363" s="619">
        <f>Таблица7[[#This Row],[Размер отряда минимум]]*1.25</f>
        <v>101.25</v>
      </c>
      <c r="L363" s="619">
        <f>Таблица7[[#This Row],[Размер отряда норма]]*1.5</f>
        <v>151.875</v>
      </c>
      <c r="M363" s="620">
        <f>Таблица7[[#This Row],[Размер отряда минимум]]*2.5</f>
        <v>202.5</v>
      </c>
      <c r="N363" s="620"/>
      <c r="O363" s="620"/>
      <c r="P363" s="620"/>
      <c r="Q363" s="620"/>
      <c r="R363" s="126" t="s">
        <v>25</v>
      </c>
      <c r="S363" s="883" t="s">
        <v>2444</v>
      </c>
      <c r="T363" s="509" t="s">
        <v>976</v>
      </c>
      <c r="U363" s="751" t="s">
        <v>1757</v>
      </c>
      <c r="V363" s="885" t="s">
        <v>2461</v>
      </c>
      <c r="W363" s="509" t="s">
        <v>993</v>
      </c>
      <c r="X363" s="509" t="s">
        <v>994</v>
      </c>
      <c r="Y363" s="883" t="s">
        <v>1932</v>
      </c>
      <c r="AA363" s="883"/>
      <c r="AD363" s="514" t="s">
        <v>1482</v>
      </c>
      <c r="AE363" s="514" t="s">
        <v>1975</v>
      </c>
      <c r="AF363" s="509" t="s">
        <v>1481</v>
      </c>
      <c r="AG363" s="509" t="s">
        <v>1978</v>
      </c>
      <c r="AH363" s="509" t="s">
        <v>985</v>
      </c>
      <c r="AI363" s="509"/>
      <c r="AJ363" s="514" t="s">
        <v>1048</v>
      </c>
      <c r="AK363" s="886" t="s">
        <v>1953</v>
      </c>
      <c r="AL363" s="515" t="s">
        <v>985</v>
      </c>
      <c r="AM363" s="932" t="s">
        <v>935</v>
      </c>
      <c r="AN363" s="883" t="s">
        <v>2380</v>
      </c>
      <c r="AO363" s="883" t="s">
        <v>2063</v>
      </c>
      <c r="AP363" s="932" t="s">
        <v>2737</v>
      </c>
      <c r="AQ363" s="932" t="s">
        <v>2738</v>
      </c>
      <c r="AS363" s="126">
        <v>1550</v>
      </c>
      <c r="AT363" s="128"/>
      <c r="AU363" s="405">
        <v>5</v>
      </c>
      <c r="AV363" s="405"/>
      <c r="AW363" s="405">
        <f>VLOOKUP(Таблица7[[#This Row],[Основное оружие]], Оружие[#All], 2, 0)</f>
        <v>1</v>
      </c>
      <c r="AX363" s="405" t="str">
        <f>IF(ISBLANK(Таблица7[[#This Row],[Дополнительное оружие]]),"", VLOOKUP(Таблица7[[#This Row],[Дополнительное оружие]], Оружие[#All], 2, 0))</f>
        <v/>
      </c>
      <c r="AY36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36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3</v>
      </c>
      <c r="BA363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63" s="405">
        <f>VLOOKUP(Таблица7[[#This Row],[Основное оружие]], Оружие[#All], 3, 0)</f>
        <v>1</v>
      </c>
      <c r="BC363" s="405" t="str">
        <f>IF(ISBLANK(Таблица7[[#This Row],[Дополнительное оружие]]),"", VLOOKUP(Таблица7[[#This Row],[Дополнительное оружие]], Оружие[#All], 3, 0))</f>
        <v/>
      </c>
      <c r="BD36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6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6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36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6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3" s="405">
        <f>Таблица7[[#This Row],[Броня]]+Таблица7[[#This Row],[Щит]]+Таблица7[[#This Row],[навык защиты]]</f>
        <v>20</v>
      </c>
      <c r="BK363" s="1006"/>
      <c r="BL363" s="1006"/>
      <c r="BM363" s="392"/>
      <c r="BN363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63" s="392">
        <v>2</v>
      </c>
      <c r="BP363" s="392">
        <v>-1</v>
      </c>
      <c r="BQ363" s="392">
        <v>-1</v>
      </c>
      <c r="BR363" s="392">
        <v>-2</v>
      </c>
      <c r="BS363" s="392">
        <v>1</v>
      </c>
      <c r="BT363" s="392">
        <v>7</v>
      </c>
      <c r="BU363" s="991" t="s">
        <v>1840</v>
      </c>
      <c r="BV363" s="991" t="s">
        <v>1844</v>
      </c>
      <c r="BW363" s="392"/>
      <c r="BX363" s="392"/>
      <c r="BY363" s="392"/>
      <c r="BZ363" s="129"/>
    </row>
    <row r="364" spans="1:78" s="126" customFormat="1" ht="40.5" customHeight="1" x14ac:dyDescent="0.25">
      <c r="A364" s="333">
        <v>363</v>
      </c>
      <c r="B364" s="883" t="s">
        <v>2481</v>
      </c>
      <c r="C364" s="883" t="s">
        <v>2462</v>
      </c>
      <c r="D364" s="509" t="s">
        <v>1555</v>
      </c>
      <c r="E364" s="509" t="s">
        <v>1547</v>
      </c>
      <c r="F364" s="509"/>
      <c r="G364" s="509"/>
      <c r="H364" s="509"/>
      <c r="I364" s="638">
        <v>0.5</v>
      </c>
      <c r="J364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364" s="619">
        <f>Таблица7[[#This Row],[Размер отряда минимум]]*1.25</f>
        <v>12.5</v>
      </c>
      <c r="L364" s="619">
        <f>Таблица7[[#This Row],[Размер отряда норма]]*1.5</f>
        <v>18.75</v>
      </c>
      <c r="M364" s="620">
        <f>Таблица7[[#This Row],[Размер отряда минимум]]*2.5</f>
        <v>25</v>
      </c>
      <c r="N364" s="620"/>
      <c r="O364" s="620"/>
      <c r="P364" s="620"/>
      <c r="Q364" s="620"/>
      <c r="R364" s="126" t="s">
        <v>25</v>
      </c>
      <c r="S364" s="883" t="s">
        <v>2444</v>
      </c>
      <c r="T364" s="509" t="s">
        <v>975</v>
      </c>
      <c r="U364" s="884" t="s">
        <v>1758</v>
      </c>
      <c r="V364" s="885" t="s">
        <v>2465</v>
      </c>
      <c r="W364" s="509" t="s">
        <v>1001</v>
      </c>
      <c r="X364" s="883" t="s">
        <v>2105</v>
      </c>
      <c r="Y364" s="883" t="s">
        <v>2024</v>
      </c>
      <c r="Z364" s="509" t="s">
        <v>1036</v>
      </c>
      <c r="AA364" s="883" t="s">
        <v>1929</v>
      </c>
      <c r="AB364" s="509"/>
      <c r="AC364" s="509"/>
      <c r="AD364" s="514" t="s">
        <v>1004</v>
      </c>
      <c r="AE364" s="884" t="s">
        <v>1952</v>
      </c>
      <c r="AF364" s="509" t="s">
        <v>985</v>
      </c>
      <c r="AG364" s="509"/>
      <c r="AH364" s="509" t="s">
        <v>985</v>
      </c>
      <c r="AI364" s="509"/>
      <c r="AJ364" s="514" t="s">
        <v>985</v>
      </c>
      <c r="AK364" s="514"/>
      <c r="AL364" s="515" t="s">
        <v>1163</v>
      </c>
      <c r="AM364" s="509" t="s">
        <v>935</v>
      </c>
      <c r="AN364" s="509" t="s">
        <v>952</v>
      </c>
      <c r="AO364" s="883" t="s">
        <v>1871</v>
      </c>
      <c r="AP364" s="883" t="s">
        <v>952</v>
      </c>
      <c r="AQ364" s="883" t="s">
        <v>1871</v>
      </c>
      <c r="AR364" s="509"/>
      <c r="AS364" s="509">
        <v>1500</v>
      </c>
      <c r="AT364" s="128">
        <v>1565</v>
      </c>
      <c r="AU364" s="405">
        <v>10</v>
      </c>
      <c r="AV364" s="405"/>
      <c r="AW364" s="405">
        <f>VLOOKUP(Таблица7[[#This Row],[Основное оружие]], Оружие[#All], 2, 0)</f>
        <v>2</v>
      </c>
      <c r="AX364" s="405">
        <f>IF(ISBLANK(Таблица7[[#This Row],[Дополнительное оружие]]),"", VLOOKUP(Таблица7[[#This Row],[Дополнительное оружие]], Оружие[#All], 2, 0))</f>
        <v>5</v>
      </c>
      <c r="AY36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6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6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364" s="405">
        <f>VLOOKUP(Таблица7[[#This Row],[Основное оружие]], Оружие[#All], 3, 0)</f>
        <v>10</v>
      </c>
      <c r="BC364" s="405">
        <f>IF(ISBLANK(Таблица7[[#This Row],[Дополнительное оружие]]),"", VLOOKUP(Таблица7[[#This Row],[Дополнительное оружие]], Оружие[#All], 3, 0))</f>
        <v>3</v>
      </c>
      <c r="BD36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36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6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6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6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4" s="405">
        <f>Таблица7[[#This Row],[Броня]]+Таблица7[[#This Row],[Щит]]+Таблица7[[#This Row],[навык защиты]]</f>
        <v>29</v>
      </c>
      <c r="BK364" s="1006"/>
      <c r="BL364" s="1006"/>
      <c r="BM364" s="392"/>
      <c r="BN364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64" s="392">
        <v>2</v>
      </c>
      <c r="BP364" s="392">
        <v>-2</v>
      </c>
      <c r="BQ364" s="392">
        <v>0</v>
      </c>
      <c r="BR364" s="392">
        <v>-4</v>
      </c>
      <c r="BS364" s="392">
        <v>-2</v>
      </c>
      <c r="BT364" s="392">
        <v>11</v>
      </c>
      <c r="BU364" s="991" t="s">
        <v>1840</v>
      </c>
      <c r="BV364" s="991" t="s">
        <v>1844</v>
      </c>
      <c r="BW364" s="392"/>
      <c r="BX364" s="392"/>
      <c r="BY364" s="392"/>
      <c r="BZ364" s="129"/>
    </row>
    <row r="365" spans="1:78" s="126" customFormat="1" ht="40.5" customHeight="1" x14ac:dyDescent="0.25">
      <c r="A365" s="333">
        <v>364</v>
      </c>
      <c r="B365" s="883" t="s">
        <v>2481</v>
      </c>
      <c r="C365" s="883" t="s">
        <v>2462</v>
      </c>
      <c r="D365" s="509" t="s">
        <v>1555</v>
      </c>
      <c r="E365" s="509" t="s">
        <v>1547</v>
      </c>
      <c r="F365" s="509"/>
      <c r="G365" s="509"/>
      <c r="H365" s="509"/>
      <c r="I365" s="638">
        <v>0.5</v>
      </c>
      <c r="J365" s="61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365" s="619">
        <f>Таблица7[[#This Row],[Размер отряда минимум]]*1.25</f>
        <v>15</v>
      </c>
      <c r="L365" s="619">
        <f>Таблица7[[#This Row],[Размер отряда норма]]*1.5</f>
        <v>22.5</v>
      </c>
      <c r="M365" s="620">
        <f>Таблица7[[#This Row],[Размер отряда минимум]]*2.5</f>
        <v>30</v>
      </c>
      <c r="N365" s="620"/>
      <c r="O365" s="620"/>
      <c r="P365" s="620"/>
      <c r="Q365" s="620"/>
      <c r="R365" s="126" t="s">
        <v>25</v>
      </c>
      <c r="S365" s="883" t="s">
        <v>2444</v>
      </c>
      <c r="T365" s="509" t="s">
        <v>976</v>
      </c>
      <c r="U365" s="751" t="s">
        <v>1758</v>
      </c>
      <c r="V365" s="885" t="s">
        <v>2466</v>
      </c>
      <c r="W365" s="509" t="s">
        <v>1001</v>
      </c>
      <c r="X365" s="781" t="s">
        <v>1950</v>
      </c>
      <c r="Y365" s="883" t="s">
        <v>1949</v>
      </c>
      <c r="Z365" s="509" t="s">
        <v>1440</v>
      </c>
      <c r="AA365" s="883" t="s">
        <v>2020</v>
      </c>
      <c r="AB365" s="509"/>
      <c r="AC365" s="509"/>
      <c r="AD365" s="514" t="s">
        <v>1005</v>
      </c>
      <c r="AE365" s="514" t="s">
        <v>2031</v>
      </c>
      <c r="AF365" s="509" t="s">
        <v>985</v>
      </c>
      <c r="AG365" s="509"/>
      <c r="AH365" s="509" t="s">
        <v>985</v>
      </c>
      <c r="AI365" s="509"/>
      <c r="AJ365" s="514" t="s">
        <v>985</v>
      </c>
      <c r="AK365" s="514"/>
      <c r="AL365" s="515" t="s">
        <v>985</v>
      </c>
      <c r="AM365" s="509" t="s">
        <v>935</v>
      </c>
      <c r="AN365" s="509" t="s">
        <v>952</v>
      </c>
      <c r="AO365" s="883" t="s">
        <v>1871</v>
      </c>
      <c r="AP365" s="883" t="s">
        <v>952</v>
      </c>
      <c r="AQ365" s="883" t="s">
        <v>1871</v>
      </c>
      <c r="AR365" s="509"/>
      <c r="AS365" s="509">
        <v>1565</v>
      </c>
      <c r="AT365" s="128"/>
      <c r="AU365" s="405">
        <v>10</v>
      </c>
      <c r="AV365" s="405" t="s">
        <v>1828</v>
      </c>
      <c r="AW365" s="405">
        <f>VLOOKUP(Таблица7[[#This Row],[Основное оружие]], Оружие[#All], 2, 0)</f>
        <v>0</v>
      </c>
      <c r="AX365" s="405">
        <f>IF(ISBLANK(Таблица7[[#This Row],[Дополнительное оружие]]),"", VLOOKUP(Таблица7[[#This Row],[Дополнительное оружие]], Оружие[#All], 2, 0))</f>
        <v>4</v>
      </c>
      <c r="AY36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6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6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65" s="405">
        <f>VLOOKUP(Таблица7[[#This Row],[Основное оружие]], Оружие[#All], 3, 0)</f>
        <v>1</v>
      </c>
      <c r="BC365" s="405">
        <f>IF(ISBLANK(Таблица7[[#This Row],[Дополнительное оружие]]),"", VLOOKUP(Таблица7[[#This Row],[Дополнительное оружие]], Оружие[#All], 3, 0))</f>
        <v>3</v>
      </c>
      <c r="BD36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36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6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6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6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5" s="405">
        <f>Таблица7[[#This Row],[Броня]]+Таблица7[[#This Row],[Щит]]+Таблица7[[#This Row],[навык защиты]]</f>
        <v>28</v>
      </c>
      <c r="BK365" s="1006"/>
      <c r="BL365" s="1006"/>
      <c r="BM365" s="392"/>
      <c r="BN365" s="99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65" s="392">
        <v>2</v>
      </c>
      <c r="BP365" s="392">
        <v>-2</v>
      </c>
      <c r="BQ365" s="392">
        <v>0</v>
      </c>
      <c r="BR365" s="392">
        <v>-4</v>
      </c>
      <c r="BS365" s="392">
        <v>-2</v>
      </c>
      <c r="BT365" s="392">
        <v>11</v>
      </c>
      <c r="BU365" s="991" t="s">
        <v>1840</v>
      </c>
      <c r="BV365" s="991" t="s">
        <v>1844</v>
      </c>
      <c r="BW365" s="392"/>
      <c r="BX365" s="392"/>
      <c r="BY365" s="392"/>
      <c r="BZ365" s="129"/>
    </row>
    <row r="366" spans="1:78" s="57" customFormat="1" ht="40.5" customHeight="1" x14ac:dyDescent="0.25">
      <c r="A366" s="333">
        <v>365</v>
      </c>
      <c r="B366" s="870" t="s">
        <v>2467</v>
      </c>
      <c r="C366" s="909" t="s">
        <v>2468</v>
      </c>
      <c r="D366" s="57" t="s">
        <v>1556</v>
      </c>
      <c r="E366" s="57" t="s">
        <v>1561</v>
      </c>
      <c r="I366" s="639">
        <v>0.9</v>
      </c>
      <c r="J366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366" s="591">
        <f>Таблица7[[#This Row],[Размер отряда минимум]]*1.25</f>
        <v>101.25</v>
      </c>
      <c r="L366" s="591">
        <f>Таблица7[[#This Row],[Размер отряда норма]]*1.5</f>
        <v>151.875</v>
      </c>
      <c r="M366" s="592">
        <f>Таблица7[[#This Row],[Размер отряда минимум]]*2.5</f>
        <v>202.5</v>
      </c>
      <c r="N366" s="592"/>
      <c r="O366" s="592"/>
      <c r="P366" s="592"/>
      <c r="Q366" s="592"/>
      <c r="R366" s="510" t="s">
        <v>26</v>
      </c>
      <c r="S366" s="870" t="s">
        <v>2469</v>
      </c>
      <c r="T366" s="510" t="s">
        <v>975</v>
      </c>
      <c r="U366" s="887" t="s">
        <v>1759</v>
      </c>
      <c r="V366" s="867" t="s">
        <v>2470</v>
      </c>
      <c r="W366" s="510" t="s">
        <v>993</v>
      </c>
      <c r="X366" s="57" t="s">
        <v>994</v>
      </c>
      <c r="Y366" s="870" t="s">
        <v>1932</v>
      </c>
      <c r="AA366" s="870"/>
      <c r="AD366" s="189" t="s">
        <v>1158</v>
      </c>
      <c r="AE366" s="887" t="s">
        <v>1962</v>
      </c>
      <c r="AF366" s="57" t="s">
        <v>1211</v>
      </c>
      <c r="AG366" s="870" t="s">
        <v>1963</v>
      </c>
      <c r="AH366" s="57" t="s">
        <v>985</v>
      </c>
      <c r="AJ366" s="189" t="s">
        <v>985</v>
      </c>
      <c r="AK366" s="189"/>
      <c r="AL366" s="512" t="s">
        <v>985</v>
      </c>
      <c r="AM366" s="510" t="s">
        <v>978</v>
      </c>
      <c r="AN366" s="870" t="s">
        <v>992</v>
      </c>
      <c r="AO366" s="510" t="s">
        <v>1904</v>
      </c>
      <c r="AP366" s="870" t="s">
        <v>2472</v>
      </c>
      <c r="AQ366" s="510" t="s">
        <v>2471</v>
      </c>
      <c r="AS366" s="57">
        <v>1500</v>
      </c>
      <c r="AT366" s="58">
        <v>1550</v>
      </c>
      <c r="AU366" s="405">
        <v>6</v>
      </c>
      <c r="AV366" s="405"/>
      <c r="AW366" s="405">
        <f>VLOOKUP(Таблица7[[#This Row],[Основное оружие]], Оружие[#All], 2, 0)</f>
        <v>1</v>
      </c>
      <c r="AX366" s="405" t="str">
        <f>IF(ISBLANK(Таблица7[[#This Row],[Дополнительное оружие]]),"", VLOOKUP(Таблица7[[#This Row],[Дополнительное оружие]], Оружие[#All], 2, 0))</f>
        <v/>
      </c>
      <c r="AY36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6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366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66" s="405">
        <f>VLOOKUP(Таблица7[[#This Row],[Основное оружие]], Оружие[#All], 3, 0)</f>
        <v>1</v>
      </c>
      <c r="BC366" s="405" t="str">
        <f>IF(ISBLANK(Таблица7[[#This Row],[Дополнительное оружие]]),"", VLOOKUP(Таблица7[[#This Row],[Дополнительное оружие]], Оружие[#All], 3, 0))</f>
        <v/>
      </c>
      <c r="BD36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6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6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6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6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6" s="405">
        <f>Таблица7[[#This Row],[Броня]]+Таблица7[[#This Row],[Щит]]+Таблица7[[#This Row],[навык защиты]]</f>
        <v>17</v>
      </c>
      <c r="BK366" s="1006"/>
      <c r="BL366" s="1006"/>
      <c r="BM366" s="378"/>
      <c r="BN366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66" s="378">
        <v>2</v>
      </c>
      <c r="BP366" s="378">
        <v>-1</v>
      </c>
      <c r="BQ366" s="378">
        <v>-1</v>
      </c>
      <c r="BR366" s="378">
        <v>-2</v>
      </c>
      <c r="BS366" s="378">
        <v>1</v>
      </c>
      <c r="BT366" s="378">
        <v>10</v>
      </c>
      <c r="BU366" s="974" t="s">
        <v>1840</v>
      </c>
      <c r="BV366" s="974" t="s">
        <v>1844</v>
      </c>
      <c r="BW366" s="378"/>
      <c r="BX366" s="378"/>
      <c r="BY366" s="378"/>
      <c r="BZ366" s="59"/>
    </row>
    <row r="367" spans="1:78" s="57" customFormat="1" ht="40.5" customHeight="1" x14ac:dyDescent="0.25">
      <c r="A367" s="333">
        <v>366</v>
      </c>
      <c r="B367" s="870" t="s">
        <v>2467</v>
      </c>
      <c r="C367" s="870" t="s">
        <v>2468</v>
      </c>
      <c r="D367" s="57" t="s">
        <v>1556</v>
      </c>
      <c r="E367" s="57" t="s">
        <v>1561</v>
      </c>
      <c r="I367" s="639">
        <v>0.9</v>
      </c>
      <c r="J367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67" s="591">
        <f>Таблица7[[#This Row],[Размер отряда минимум]]*1.25</f>
        <v>112.5</v>
      </c>
      <c r="L367" s="591">
        <f>Таблица7[[#This Row],[Размер отряда норма]]*1.5</f>
        <v>168.75</v>
      </c>
      <c r="M367" s="592">
        <f>Таблица7[[#This Row],[Размер отряда минимум]]*2.5</f>
        <v>225</v>
      </c>
      <c r="N367" s="592"/>
      <c r="O367" s="592"/>
      <c r="P367" s="592"/>
      <c r="Q367" s="592"/>
      <c r="R367" s="140" t="s">
        <v>26</v>
      </c>
      <c r="S367" s="870" t="s">
        <v>2469</v>
      </c>
      <c r="T367" s="510" t="s">
        <v>976</v>
      </c>
      <c r="U367" s="730" t="s">
        <v>1759</v>
      </c>
      <c r="V367" s="867" t="s">
        <v>2470</v>
      </c>
      <c r="W367" s="510" t="s">
        <v>993</v>
      </c>
      <c r="X367" s="57" t="s">
        <v>994</v>
      </c>
      <c r="Y367" s="870" t="s">
        <v>1932</v>
      </c>
      <c r="AA367" s="870"/>
      <c r="AD367" s="189" t="s">
        <v>1158</v>
      </c>
      <c r="AE367" s="189" t="s">
        <v>1962</v>
      </c>
      <c r="AF367" s="57" t="s">
        <v>1211</v>
      </c>
      <c r="AG367" s="870" t="s">
        <v>1963</v>
      </c>
      <c r="AH367" s="57" t="s">
        <v>985</v>
      </c>
      <c r="AJ367" s="189" t="s">
        <v>985</v>
      </c>
      <c r="AK367" s="189"/>
      <c r="AL367" s="512" t="s">
        <v>985</v>
      </c>
      <c r="AM367" s="510" t="s">
        <v>978</v>
      </c>
      <c r="AN367" s="870" t="s">
        <v>992</v>
      </c>
      <c r="AO367" s="870" t="s">
        <v>1904</v>
      </c>
      <c r="AP367" s="870" t="s">
        <v>2472</v>
      </c>
      <c r="AQ367" s="510" t="s">
        <v>2471</v>
      </c>
      <c r="AS367" s="57">
        <v>1550</v>
      </c>
      <c r="AT367" s="58"/>
      <c r="AU367" s="405">
        <v>3</v>
      </c>
      <c r="AV367" s="405"/>
      <c r="AW367" s="405">
        <f>VLOOKUP(Таблица7[[#This Row],[Основное оружие]], Оружие[#All], 2, 0)</f>
        <v>1</v>
      </c>
      <c r="AX367" s="405" t="str">
        <f>IF(ISBLANK(Таблица7[[#This Row],[Дополнительное оружие]]),"", VLOOKUP(Таблица7[[#This Row],[Дополнительное оружие]], Оружие[#All], 2, 0))</f>
        <v/>
      </c>
      <c r="AY36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</v>
      </c>
      <c r="AZ36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2</v>
      </c>
      <c r="BA367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67" s="405">
        <f>VLOOKUP(Таблица7[[#This Row],[Основное оружие]], Оружие[#All], 3, 0)</f>
        <v>1</v>
      </c>
      <c r="BC367" s="405" t="str">
        <f>IF(ISBLANK(Таблица7[[#This Row],[Дополнительное оружие]]),"", VLOOKUP(Таблица7[[#This Row],[Дополнительное оружие]], Оружие[#All], 3, 0))</f>
        <v/>
      </c>
      <c r="BD36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6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6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6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36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7" s="405">
        <f>Таблица7[[#This Row],[Броня]]+Таблица7[[#This Row],[Щит]]+Таблица7[[#This Row],[навык защиты]]</f>
        <v>14</v>
      </c>
      <c r="BK367" s="1006"/>
      <c r="BL367" s="1006"/>
      <c r="BM367" s="378"/>
      <c r="BN367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67" s="378">
        <v>2</v>
      </c>
      <c r="BP367" s="378">
        <v>-1</v>
      </c>
      <c r="BQ367" s="378">
        <v>-1</v>
      </c>
      <c r="BR367" s="378">
        <v>-2</v>
      </c>
      <c r="BS367" s="378">
        <v>1</v>
      </c>
      <c r="BT367" s="378">
        <v>7</v>
      </c>
      <c r="BU367" s="974" t="s">
        <v>1576</v>
      </c>
      <c r="BV367" s="974" t="s">
        <v>1843</v>
      </c>
      <c r="BW367" s="378"/>
      <c r="BX367" s="378"/>
      <c r="BY367" s="378"/>
      <c r="BZ367" s="59"/>
    </row>
    <row r="368" spans="1:78" s="57" customFormat="1" ht="40.5" customHeight="1" x14ac:dyDescent="0.25">
      <c r="A368" s="333">
        <v>367</v>
      </c>
      <c r="B368" s="870" t="s">
        <v>1760</v>
      </c>
      <c r="C368" s="909" t="s">
        <v>2473</v>
      </c>
      <c r="D368" s="57" t="s">
        <v>1556</v>
      </c>
      <c r="E368" s="510" t="s">
        <v>1547</v>
      </c>
      <c r="F368" s="510"/>
      <c r="G368" s="510"/>
      <c r="H368" s="510"/>
      <c r="I368" s="639">
        <v>0.9</v>
      </c>
      <c r="J368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72</v>
      </c>
      <c r="K368" s="591">
        <f>Таблица7[[#This Row],[Размер отряда минимум]]*1.25</f>
        <v>90</v>
      </c>
      <c r="L368" s="591">
        <f>Таблица7[[#This Row],[Размер отряда норма]]*1.5</f>
        <v>135</v>
      </c>
      <c r="M368" s="592">
        <f>Таблица7[[#This Row],[Размер отряда минимум]]*2.5</f>
        <v>180</v>
      </c>
      <c r="N368" s="592"/>
      <c r="O368" s="592"/>
      <c r="P368" s="592"/>
      <c r="Q368" s="592"/>
      <c r="R368" s="140" t="s">
        <v>26</v>
      </c>
      <c r="S368" s="870" t="s">
        <v>2469</v>
      </c>
      <c r="T368" s="510" t="s">
        <v>975</v>
      </c>
      <c r="U368" s="887" t="s">
        <v>1761</v>
      </c>
      <c r="V368" s="867" t="s">
        <v>2474</v>
      </c>
      <c r="W368" s="513" t="s">
        <v>993</v>
      </c>
      <c r="X368" s="57" t="s">
        <v>996</v>
      </c>
      <c r="Y368" s="870" t="s">
        <v>1973</v>
      </c>
      <c r="AD368" s="189" t="s">
        <v>1482</v>
      </c>
      <c r="AE368" s="189" t="s">
        <v>1975</v>
      </c>
      <c r="AF368" s="57" t="s">
        <v>1481</v>
      </c>
      <c r="AG368" s="57" t="s">
        <v>1978</v>
      </c>
      <c r="AH368" s="57" t="s">
        <v>985</v>
      </c>
      <c r="AJ368" s="189" t="s">
        <v>1004</v>
      </c>
      <c r="AK368" s="58" t="s">
        <v>1952</v>
      </c>
      <c r="AL368" s="512" t="s">
        <v>985</v>
      </c>
      <c r="AM368" s="920" t="s">
        <v>935</v>
      </c>
      <c r="AN368" s="870" t="s">
        <v>2380</v>
      </c>
      <c r="AO368" s="510" t="s">
        <v>2063</v>
      </c>
      <c r="AP368" s="920" t="s">
        <v>2739</v>
      </c>
      <c r="AQ368" s="920" t="s">
        <v>2740</v>
      </c>
      <c r="AS368" s="57">
        <v>1500</v>
      </c>
      <c r="AT368" s="58">
        <v>1550</v>
      </c>
      <c r="AU368" s="405">
        <v>6</v>
      </c>
      <c r="AV368" s="405"/>
      <c r="AW368" s="405">
        <f>VLOOKUP(Таблица7[[#This Row],[Основное оружие]], Оружие[#All], 2, 0)</f>
        <v>7</v>
      </c>
      <c r="AX368" s="405" t="str">
        <f>IF(ISBLANK(Таблица7[[#This Row],[Дополнительное оружие]]),"", VLOOKUP(Таблица7[[#This Row],[Дополнительное оружие]], Оружие[#All], 2, 0))</f>
        <v/>
      </c>
      <c r="AY36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6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36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68" s="405">
        <f>VLOOKUP(Таблица7[[#This Row],[Основное оружие]], Оружие[#All], 3, 0)</f>
        <v>3</v>
      </c>
      <c r="BC368" s="405" t="str">
        <f>IF(ISBLANK(Таблица7[[#This Row],[Дополнительное оружие]]),"", VLOOKUP(Таблица7[[#This Row],[Дополнительное оружие]], Оружие[#All], 3, 0))</f>
        <v/>
      </c>
      <c r="BD36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6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6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6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36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8" s="405">
        <f>Таблица7[[#This Row],[Броня]]+Таблица7[[#This Row],[Щит]]+Таблица7[[#This Row],[навык защиты]]</f>
        <v>23</v>
      </c>
      <c r="BK368" s="1006"/>
      <c r="BL368" s="1006"/>
      <c r="BM368" s="378"/>
      <c r="BN368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68" s="378">
        <v>2</v>
      </c>
      <c r="BP368" s="378">
        <v>0</v>
      </c>
      <c r="BQ368" s="378">
        <v>-1</v>
      </c>
      <c r="BR368" s="378">
        <v>-1</v>
      </c>
      <c r="BS368" s="378">
        <v>1</v>
      </c>
      <c r="BT368" s="378">
        <v>11</v>
      </c>
      <c r="BU368" s="974" t="s">
        <v>1840</v>
      </c>
      <c r="BV368" s="974" t="s">
        <v>1844</v>
      </c>
      <c r="BW368" s="378"/>
      <c r="BX368" s="378"/>
      <c r="BY368" s="378"/>
      <c r="BZ368" s="59"/>
    </row>
    <row r="369" spans="1:78" s="57" customFormat="1" ht="40.5" customHeight="1" x14ac:dyDescent="0.25">
      <c r="A369" s="333">
        <v>368</v>
      </c>
      <c r="B369" s="669" t="s">
        <v>1760</v>
      </c>
      <c r="C369" s="870" t="s">
        <v>2473</v>
      </c>
      <c r="D369" s="57" t="s">
        <v>1556</v>
      </c>
      <c r="E369" s="510" t="s">
        <v>1547</v>
      </c>
      <c r="F369" s="510"/>
      <c r="G369" s="510"/>
      <c r="H369" s="510"/>
      <c r="I369" s="639">
        <v>0.9</v>
      </c>
      <c r="J369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369" s="591">
        <f>Таблица7[[#This Row],[Размер отряда минимум]]*1.25</f>
        <v>101.25</v>
      </c>
      <c r="L369" s="591">
        <f>Таблица7[[#This Row],[Размер отряда норма]]*1.5</f>
        <v>151.875</v>
      </c>
      <c r="M369" s="592">
        <f>Таблица7[[#This Row],[Размер отряда минимум]]*2.5</f>
        <v>202.5</v>
      </c>
      <c r="N369" s="592"/>
      <c r="O369" s="592"/>
      <c r="P369" s="592"/>
      <c r="Q369" s="592"/>
      <c r="R369" s="140" t="s">
        <v>26</v>
      </c>
      <c r="S369" s="870" t="s">
        <v>2469</v>
      </c>
      <c r="T369" s="510" t="s">
        <v>976</v>
      </c>
      <c r="U369" s="730" t="s">
        <v>1761</v>
      </c>
      <c r="V369" s="867" t="s">
        <v>2474</v>
      </c>
      <c r="W369" s="510" t="s">
        <v>993</v>
      </c>
      <c r="X369" s="57" t="s">
        <v>996</v>
      </c>
      <c r="Y369" s="870" t="s">
        <v>1973</v>
      </c>
      <c r="AD369" s="189" t="s">
        <v>1482</v>
      </c>
      <c r="AE369" s="189" t="s">
        <v>1975</v>
      </c>
      <c r="AF369" s="57" t="s">
        <v>1481</v>
      </c>
      <c r="AG369" s="57" t="s">
        <v>1978</v>
      </c>
      <c r="AH369" s="57" t="s">
        <v>985</v>
      </c>
      <c r="AJ369" s="189" t="s">
        <v>1048</v>
      </c>
      <c r="AK369" s="58" t="s">
        <v>1953</v>
      </c>
      <c r="AL369" s="512" t="s">
        <v>985</v>
      </c>
      <c r="AM369" s="920" t="s">
        <v>935</v>
      </c>
      <c r="AN369" s="870" t="s">
        <v>2380</v>
      </c>
      <c r="AO369" s="510" t="s">
        <v>2063</v>
      </c>
      <c r="AP369" s="920" t="s">
        <v>2739</v>
      </c>
      <c r="AQ369" s="920" t="s">
        <v>2740</v>
      </c>
      <c r="AS369" s="57">
        <v>1550</v>
      </c>
      <c r="AT369" s="58"/>
      <c r="AU369" s="405">
        <v>3</v>
      </c>
      <c r="AV369" s="405"/>
      <c r="AW369" s="405">
        <f>VLOOKUP(Таблица7[[#This Row],[Основное оружие]], Оружие[#All], 2, 0)</f>
        <v>7</v>
      </c>
      <c r="AX369" s="405" t="str">
        <f>IF(ISBLANK(Таблица7[[#This Row],[Дополнительное оружие]]),"", VLOOKUP(Таблица7[[#This Row],[Дополнительное оружие]], Оружие[#All], 2, 0))</f>
        <v/>
      </c>
      <c r="AY36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36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36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69" s="405">
        <f>VLOOKUP(Таблица7[[#This Row],[Основное оружие]], Оружие[#All], 3, 0)</f>
        <v>3</v>
      </c>
      <c r="BC369" s="405" t="str">
        <f>IF(ISBLANK(Таблица7[[#This Row],[Дополнительное оружие]]),"", VLOOKUP(Таблица7[[#This Row],[Дополнительное оружие]], Оружие[#All], 3, 0))</f>
        <v/>
      </c>
      <c r="BD36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6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6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69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36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6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69" s="405">
        <f>Таблица7[[#This Row],[Броня]]+Таблица7[[#This Row],[Щит]]+Таблица7[[#This Row],[навык защиты]]</f>
        <v>20</v>
      </c>
      <c r="BK369" s="1006"/>
      <c r="BL369" s="1006"/>
      <c r="BM369" s="378"/>
      <c r="BN369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69" s="378">
        <v>2</v>
      </c>
      <c r="BP369" s="378">
        <v>0</v>
      </c>
      <c r="BQ369" s="378">
        <v>-1</v>
      </c>
      <c r="BR369" s="378">
        <v>-1</v>
      </c>
      <c r="BS369" s="378">
        <v>1</v>
      </c>
      <c r="BT369" s="378">
        <v>8</v>
      </c>
      <c r="BU369" s="974" t="s">
        <v>1840</v>
      </c>
      <c r="BV369" s="974" t="s">
        <v>1844</v>
      </c>
      <c r="BW369" s="378"/>
      <c r="BX369" s="378"/>
      <c r="BY369" s="378"/>
      <c r="BZ369" s="59"/>
    </row>
    <row r="370" spans="1:78" s="57" customFormat="1" ht="40.5" customHeight="1" x14ac:dyDescent="0.25">
      <c r="A370" s="333">
        <v>369</v>
      </c>
      <c r="B370" s="669" t="s">
        <v>1762</v>
      </c>
      <c r="C370" s="870" t="s">
        <v>2475</v>
      </c>
      <c r="D370" s="510" t="s">
        <v>1555</v>
      </c>
      <c r="E370" s="510" t="s">
        <v>1547</v>
      </c>
      <c r="F370" s="510"/>
      <c r="G370" s="510"/>
      <c r="H370" s="510"/>
      <c r="I370" s="639">
        <v>0.5</v>
      </c>
      <c r="J370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370" s="591">
        <f>Таблица7[[#This Row],[Размер отряда минимум]]*1.25</f>
        <v>12.5</v>
      </c>
      <c r="L370" s="591">
        <f>Таблица7[[#This Row],[Размер отряда норма]]*1.5</f>
        <v>18.75</v>
      </c>
      <c r="M370" s="592">
        <f>Таблица7[[#This Row],[Размер отряда минимум]]*2.5</f>
        <v>25</v>
      </c>
      <c r="N370" s="592"/>
      <c r="O370" s="592"/>
      <c r="P370" s="592"/>
      <c r="Q370" s="592"/>
      <c r="R370" s="140" t="s">
        <v>26</v>
      </c>
      <c r="S370" s="870" t="s">
        <v>2469</v>
      </c>
      <c r="T370" s="510" t="s">
        <v>975</v>
      </c>
      <c r="U370" s="887" t="s">
        <v>1763</v>
      </c>
      <c r="V370" s="867" t="s">
        <v>2476</v>
      </c>
      <c r="W370" s="510" t="s">
        <v>1001</v>
      </c>
      <c r="X370" s="870" t="s">
        <v>2105</v>
      </c>
      <c r="Y370" s="870" t="s">
        <v>2024</v>
      </c>
      <c r="Z370" s="870" t="s">
        <v>1036</v>
      </c>
      <c r="AA370" s="870" t="s">
        <v>1929</v>
      </c>
      <c r="AD370" s="189" t="s">
        <v>1004</v>
      </c>
      <c r="AE370" s="189" t="s">
        <v>1952</v>
      </c>
      <c r="AF370" s="510" t="s">
        <v>985</v>
      </c>
      <c r="AG370" s="510"/>
      <c r="AH370" s="510" t="s">
        <v>985</v>
      </c>
      <c r="AI370" s="510"/>
      <c r="AJ370" s="513" t="s">
        <v>985</v>
      </c>
      <c r="AK370" s="513"/>
      <c r="AL370" s="512" t="s">
        <v>1163</v>
      </c>
      <c r="AM370" s="510" t="s">
        <v>935</v>
      </c>
      <c r="AN370" s="510" t="s">
        <v>952</v>
      </c>
      <c r="AO370" s="870" t="s">
        <v>1871</v>
      </c>
      <c r="AP370" s="870" t="s">
        <v>952</v>
      </c>
      <c r="AQ370" s="870" t="s">
        <v>1871</v>
      </c>
      <c r="AS370" s="57">
        <v>1500</v>
      </c>
      <c r="AT370" s="58">
        <v>1565</v>
      </c>
      <c r="AU370" s="405">
        <v>10</v>
      </c>
      <c r="AV370" s="405"/>
      <c r="AW370" s="405">
        <f>VLOOKUP(Таблица7[[#This Row],[Основное оружие]], Оружие[#All], 2, 0)</f>
        <v>2</v>
      </c>
      <c r="AX370" s="405">
        <f>IF(ISBLANK(Таблица7[[#This Row],[Дополнительное оружие]]),"", VLOOKUP(Таблица7[[#This Row],[Дополнительное оружие]], Оружие[#All], 2, 0))</f>
        <v>5</v>
      </c>
      <c r="AY37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7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7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370" s="405">
        <f>VLOOKUP(Таблица7[[#This Row],[Основное оружие]], Оружие[#All], 3, 0)</f>
        <v>10</v>
      </c>
      <c r="BC370" s="405">
        <f>IF(ISBLANK(Таблица7[[#This Row],[Дополнительное оружие]]),"", VLOOKUP(Таблица7[[#This Row],[Дополнительное оружие]], Оружие[#All], 3, 0))</f>
        <v>3</v>
      </c>
      <c r="BD37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37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7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7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7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0" s="405">
        <f>Таблица7[[#This Row],[Броня]]+Таблица7[[#This Row],[Щит]]+Таблица7[[#This Row],[навык защиты]]</f>
        <v>29</v>
      </c>
      <c r="BK370" s="1006"/>
      <c r="BL370" s="1006"/>
      <c r="BM370" s="378"/>
      <c r="BN370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70" s="378">
        <v>2</v>
      </c>
      <c r="BP370" s="378">
        <v>-2</v>
      </c>
      <c r="BQ370" s="378">
        <v>0</v>
      </c>
      <c r="BR370" s="378">
        <v>-4</v>
      </c>
      <c r="BS370" s="378">
        <v>-2</v>
      </c>
      <c r="BT370" s="378">
        <v>11</v>
      </c>
      <c r="BU370" s="974" t="s">
        <v>1840</v>
      </c>
      <c r="BV370" s="974" t="s">
        <v>1844</v>
      </c>
      <c r="BW370" s="378"/>
      <c r="BX370" s="378"/>
      <c r="BY370" s="378"/>
      <c r="BZ370" s="59"/>
    </row>
    <row r="371" spans="1:78" s="57" customFormat="1" ht="40.5" customHeight="1" x14ac:dyDescent="0.25">
      <c r="A371" s="333">
        <v>370</v>
      </c>
      <c r="B371" s="669" t="s">
        <v>1762</v>
      </c>
      <c r="C371" s="870" t="s">
        <v>2475</v>
      </c>
      <c r="D371" s="510" t="s">
        <v>1555</v>
      </c>
      <c r="E371" s="510" t="s">
        <v>1547</v>
      </c>
      <c r="F371" s="510"/>
      <c r="G371" s="510"/>
      <c r="H371" s="510"/>
      <c r="I371" s="639">
        <v>0.5</v>
      </c>
      <c r="J371" s="59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371" s="591">
        <f>Таблица7[[#This Row],[Размер отряда минимум]]*1.25</f>
        <v>15</v>
      </c>
      <c r="L371" s="591">
        <f>Таблица7[[#This Row],[Размер отряда норма]]*1.5</f>
        <v>22.5</v>
      </c>
      <c r="M371" s="592">
        <f>Таблица7[[#This Row],[Размер отряда минимум]]*2.5</f>
        <v>30</v>
      </c>
      <c r="N371" s="592"/>
      <c r="O371" s="592"/>
      <c r="P371" s="592"/>
      <c r="Q371" s="592"/>
      <c r="R371" s="140" t="s">
        <v>26</v>
      </c>
      <c r="S371" s="870" t="s">
        <v>2469</v>
      </c>
      <c r="T371" s="510" t="s">
        <v>976</v>
      </c>
      <c r="U371" s="730" t="s">
        <v>1763</v>
      </c>
      <c r="V371" s="867" t="s">
        <v>2477</v>
      </c>
      <c r="W371" s="510" t="s">
        <v>1001</v>
      </c>
      <c r="X371" s="771" t="s">
        <v>1950</v>
      </c>
      <c r="Y371" s="870" t="s">
        <v>1949</v>
      </c>
      <c r="Z371" s="870" t="s">
        <v>1440</v>
      </c>
      <c r="AA371" s="870" t="s">
        <v>2020</v>
      </c>
      <c r="AD371" s="189" t="s">
        <v>1005</v>
      </c>
      <c r="AE371" s="189" t="s">
        <v>2031</v>
      </c>
      <c r="AF371" s="510" t="s">
        <v>985</v>
      </c>
      <c r="AG371" s="510"/>
      <c r="AH371" s="510" t="s">
        <v>985</v>
      </c>
      <c r="AI371" s="510"/>
      <c r="AJ371" s="513" t="s">
        <v>985</v>
      </c>
      <c r="AK371" s="513"/>
      <c r="AL371" s="512" t="s">
        <v>985</v>
      </c>
      <c r="AM371" s="510" t="s">
        <v>935</v>
      </c>
      <c r="AN371" s="510" t="s">
        <v>952</v>
      </c>
      <c r="AO371" s="870" t="s">
        <v>1871</v>
      </c>
      <c r="AP371" s="870" t="s">
        <v>952</v>
      </c>
      <c r="AQ371" s="870" t="s">
        <v>1871</v>
      </c>
      <c r="AS371" s="57">
        <v>1565</v>
      </c>
      <c r="AT371" s="58"/>
      <c r="AU371" s="405">
        <v>10</v>
      </c>
      <c r="AV371" s="405" t="s">
        <v>1828</v>
      </c>
      <c r="AW371" s="405">
        <f>VLOOKUP(Таблица7[[#This Row],[Основное оружие]], Оружие[#All], 2, 0)</f>
        <v>0</v>
      </c>
      <c r="AX371" s="405">
        <f>IF(ISBLANK(Таблица7[[#This Row],[Дополнительное оружие]]),"", VLOOKUP(Таблица7[[#This Row],[Дополнительное оружие]], Оружие[#All], 2, 0))</f>
        <v>4</v>
      </c>
      <c r="AY37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7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7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71" s="405">
        <f>VLOOKUP(Таблица7[[#This Row],[Основное оружие]], Оружие[#All], 3, 0)</f>
        <v>1</v>
      </c>
      <c r="BC371" s="405">
        <f>IF(ISBLANK(Таблица7[[#This Row],[Дополнительное оружие]]),"", VLOOKUP(Таблица7[[#This Row],[Дополнительное оружие]], Оружие[#All], 3, 0))</f>
        <v>3</v>
      </c>
      <c r="BD37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37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7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7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7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1" s="405">
        <f>Таблица7[[#This Row],[Броня]]+Таблица7[[#This Row],[Щит]]+Таблица7[[#This Row],[навык защиты]]</f>
        <v>28</v>
      </c>
      <c r="BK371" s="1006"/>
      <c r="BL371" s="1006"/>
      <c r="BM371" s="378"/>
      <c r="BN371" s="97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71" s="378">
        <v>2</v>
      </c>
      <c r="BP371" s="378">
        <v>-2</v>
      </c>
      <c r="BQ371" s="378">
        <v>0</v>
      </c>
      <c r="BR371" s="378">
        <v>-4</v>
      </c>
      <c r="BS371" s="378">
        <v>-2</v>
      </c>
      <c r="BT371" s="378">
        <v>11</v>
      </c>
      <c r="BU371" s="974" t="s">
        <v>1840</v>
      </c>
      <c r="BV371" s="974" t="s">
        <v>1844</v>
      </c>
      <c r="BW371" s="378"/>
      <c r="BX371" s="378"/>
      <c r="BY371" s="378"/>
      <c r="BZ371" s="59"/>
    </row>
    <row r="372" spans="1:78" s="141" customFormat="1" ht="40.5" customHeight="1" x14ac:dyDescent="0.25">
      <c r="A372" s="333">
        <v>371</v>
      </c>
      <c r="B372" s="888" t="s">
        <v>2479</v>
      </c>
      <c r="C372" s="888" t="s">
        <v>2482</v>
      </c>
      <c r="D372" s="520" t="s">
        <v>1556</v>
      </c>
      <c r="E372" s="141" t="s">
        <v>1448</v>
      </c>
      <c r="I372" s="641">
        <v>0.3</v>
      </c>
      <c r="J372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372" s="625">
        <f>Таблица7[[#This Row],[Размер отряда минимум]]*1.25</f>
        <v>33.75</v>
      </c>
      <c r="L372" s="625">
        <f>Таблица7[[#This Row],[Размер отряда норма]]*1.5</f>
        <v>50.625</v>
      </c>
      <c r="M372" s="626">
        <f>Таблица7[[#This Row],[Размер отряда минимум]]*2.5</f>
        <v>67.5</v>
      </c>
      <c r="N372" s="626"/>
      <c r="O372" s="626"/>
      <c r="P372" s="626"/>
      <c r="Q372" s="626"/>
      <c r="R372" s="142" t="s">
        <v>27</v>
      </c>
      <c r="S372" s="888" t="s">
        <v>2478</v>
      </c>
      <c r="T372" s="520" t="s">
        <v>975</v>
      </c>
      <c r="U372" s="889" t="s">
        <v>1764</v>
      </c>
      <c r="V372" s="890" t="s">
        <v>2483</v>
      </c>
      <c r="W372" s="520" t="s">
        <v>1001</v>
      </c>
      <c r="X372" s="141" t="s">
        <v>987</v>
      </c>
      <c r="Y372" s="141" t="s">
        <v>1925</v>
      </c>
      <c r="AD372" s="511" t="s">
        <v>1158</v>
      </c>
      <c r="AE372" s="511" t="s">
        <v>1962</v>
      </c>
      <c r="AF372" s="520" t="s">
        <v>1211</v>
      </c>
      <c r="AG372" s="888" t="s">
        <v>1963</v>
      </c>
      <c r="AH372" s="520" t="s">
        <v>985</v>
      </c>
      <c r="AI372" s="520"/>
      <c r="AJ372" s="511" t="s">
        <v>985</v>
      </c>
      <c r="AK372" s="511"/>
      <c r="AL372" s="521" t="s">
        <v>985</v>
      </c>
      <c r="AM372" s="520" t="s">
        <v>978</v>
      </c>
      <c r="AN372" s="520" t="s">
        <v>1023</v>
      </c>
      <c r="AO372" s="897" t="s">
        <v>1904</v>
      </c>
      <c r="AP372" s="888" t="s">
        <v>2484</v>
      </c>
      <c r="AQ372" s="888" t="s">
        <v>2489</v>
      </c>
      <c r="AS372" s="141">
        <v>1500</v>
      </c>
      <c r="AT372" s="143">
        <v>1550</v>
      </c>
      <c r="AU372" s="405">
        <v>6</v>
      </c>
      <c r="AV372" s="405"/>
      <c r="AW372" s="405">
        <f>VLOOKUP(Таблица7[[#This Row],[Основное оружие]], Оружие[#All], 2, 0)</f>
        <v>8</v>
      </c>
      <c r="AX372" s="405" t="str">
        <f>IF(ISBLANK(Таблица7[[#This Row],[Дополнительное оружие]]),"", VLOOKUP(Таблица7[[#This Row],[Дополнительное оружие]], Оружие[#All], 2, 0))</f>
        <v/>
      </c>
      <c r="AY37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37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37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72" s="405">
        <f>VLOOKUP(Таблица7[[#This Row],[Основное оружие]], Оружие[#All], 3, 0)</f>
        <v>8</v>
      </c>
      <c r="BC372" s="405" t="str">
        <f>IF(ISBLANK(Таблица7[[#This Row],[Дополнительное оружие]]),"", VLOOKUP(Таблица7[[#This Row],[Дополнительное оружие]], Оружие[#All], 3, 0))</f>
        <v/>
      </c>
      <c r="BD37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7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7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7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7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2" s="405">
        <f>Таблица7[[#This Row],[Броня]]+Таблица7[[#This Row],[Щит]]+Таблица7[[#This Row],[навык защиты]]</f>
        <v>19</v>
      </c>
      <c r="BK372" s="1006"/>
      <c r="BL372" s="1006"/>
      <c r="BM372" s="395"/>
      <c r="BN372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72" s="395">
        <v>2</v>
      </c>
      <c r="BP372" s="395">
        <v>0</v>
      </c>
      <c r="BQ372" s="395">
        <v>-1</v>
      </c>
      <c r="BR372" s="395">
        <v>0</v>
      </c>
      <c r="BS372" s="395">
        <v>1</v>
      </c>
      <c r="BT372" s="395">
        <v>10</v>
      </c>
      <c r="BU372" s="995" t="s">
        <v>1840</v>
      </c>
      <c r="BV372" s="995" t="s">
        <v>1844</v>
      </c>
      <c r="BW372" s="395"/>
      <c r="BX372" s="395"/>
      <c r="BY372" s="395"/>
      <c r="BZ372" s="144"/>
    </row>
    <row r="373" spans="1:78" s="141" customFormat="1" ht="40.5" customHeight="1" x14ac:dyDescent="0.25">
      <c r="A373" s="333">
        <v>372</v>
      </c>
      <c r="B373" s="888" t="s">
        <v>2479</v>
      </c>
      <c r="C373" s="888" t="s">
        <v>2482</v>
      </c>
      <c r="D373" s="511" t="s">
        <v>1556</v>
      </c>
      <c r="E373" s="190" t="s">
        <v>1448</v>
      </c>
      <c r="F373" s="190"/>
      <c r="G373" s="190"/>
      <c r="H373" s="190"/>
      <c r="I373" s="641">
        <v>0.3</v>
      </c>
      <c r="J373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373" s="625">
        <f>Таблица7[[#This Row],[Размер отряда минимум]]*1.25</f>
        <v>37.5</v>
      </c>
      <c r="L373" s="625">
        <f>Таблица7[[#This Row],[Размер отряда норма]]*1.5</f>
        <v>56.25</v>
      </c>
      <c r="M373" s="625">
        <f>Таблица7[[#This Row],[Размер отряда минимум]]*2.5</f>
        <v>75</v>
      </c>
      <c r="N373" s="625"/>
      <c r="O373" s="625"/>
      <c r="P373" s="625"/>
      <c r="Q373" s="625"/>
      <c r="R373" s="460" t="s">
        <v>27</v>
      </c>
      <c r="S373" s="888" t="s">
        <v>2478</v>
      </c>
      <c r="T373" s="511" t="s">
        <v>976</v>
      </c>
      <c r="U373" s="752" t="s">
        <v>1764</v>
      </c>
      <c r="V373" s="890" t="s">
        <v>2483</v>
      </c>
      <c r="W373" s="511" t="s">
        <v>1001</v>
      </c>
      <c r="X373" s="141" t="s">
        <v>987</v>
      </c>
      <c r="Y373" s="141" t="s">
        <v>1925</v>
      </c>
      <c r="Z373" s="190"/>
      <c r="AA373" s="190"/>
      <c r="AB373" s="190"/>
      <c r="AC373" s="190"/>
      <c r="AD373" s="511" t="s">
        <v>1158</v>
      </c>
      <c r="AE373" s="896" t="s">
        <v>1962</v>
      </c>
      <c r="AF373" s="520" t="s">
        <v>1211</v>
      </c>
      <c r="AG373" s="897" t="s">
        <v>1963</v>
      </c>
      <c r="AH373" s="520" t="s">
        <v>985</v>
      </c>
      <c r="AI373" s="520"/>
      <c r="AJ373" s="511" t="s">
        <v>985</v>
      </c>
      <c r="AK373" s="511"/>
      <c r="AL373" s="521" t="s">
        <v>985</v>
      </c>
      <c r="AM373" s="520" t="s">
        <v>978</v>
      </c>
      <c r="AN373" s="520" t="s">
        <v>1023</v>
      </c>
      <c r="AO373" s="520" t="s">
        <v>1904</v>
      </c>
      <c r="AP373" s="888" t="s">
        <v>2484</v>
      </c>
      <c r="AQ373" s="888" t="s">
        <v>2489</v>
      </c>
      <c r="AR373" s="190"/>
      <c r="AS373" s="190">
        <v>1500</v>
      </c>
      <c r="AT373" s="143"/>
      <c r="AU373" s="406">
        <v>3</v>
      </c>
      <c r="AV373" s="405"/>
      <c r="AW373" s="405">
        <f>VLOOKUP(Таблица7[[#This Row],[Основное оружие]], Оружие[#All], 2, 0)</f>
        <v>8</v>
      </c>
      <c r="AX373" s="405" t="str">
        <f>IF(ISBLANK(Таблица7[[#This Row],[Дополнительное оружие]]),"", VLOOKUP(Таблица7[[#This Row],[Дополнительное оружие]], Оружие[#All], 2, 0))</f>
        <v/>
      </c>
      <c r="AY37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7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7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73" s="405">
        <f>VLOOKUP(Таблица7[[#This Row],[Основное оружие]], Оружие[#All], 3, 0)</f>
        <v>8</v>
      </c>
      <c r="BC373" s="405" t="str">
        <f>IF(ISBLANK(Таблица7[[#This Row],[Дополнительное оружие]]),"", VLOOKUP(Таблица7[[#This Row],[Дополнительное оружие]], Оружие[#All], 3, 0))</f>
        <v/>
      </c>
      <c r="BD37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7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7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7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7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3" s="405">
        <f>Таблица7[[#This Row],[Броня]]+Таблица7[[#This Row],[Щит]]+Таблица7[[#This Row],[навык защиты]]</f>
        <v>16</v>
      </c>
      <c r="BK373" s="1006"/>
      <c r="BL373" s="1006"/>
      <c r="BM373" s="461"/>
      <c r="BN373" s="996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73" s="461">
        <v>2</v>
      </c>
      <c r="BP373" s="461">
        <v>0</v>
      </c>
      <c r="BQ373" s="461">
        <v>-1</v>
      </c>
      <c r="BR373" s="461">
        <v>0</v>
      </c>
      <c r="BS373" s="461">
        <v>1</v>
      </c>
      <c r="BT373" s="461">
        <v>7</v>
      </c>
      <c r="BU373" s="996" t="s">
        <v>1576</v>
      </c>
      <c r="BV373" s="996" t="s">
        <v>1843</v>
      </c>
      <c r="BW373" s="461"/>
      <c r="BX373" s="461"/>
      <c r="BY373" s="461"/>
      <c r="BZ373" s="144"/>
    </row>
    <row r="374" spans="1:78" s="141" customFormat="1" ht="40.5" customHeight="1" x14ac:dyDescent="0.25">
      <c r="A374" s="333">
        <v>373</v>
      </c>
      <c r="B374" s="671" t="s">
        <v>1765</v>
      </c>
      <c r="C374" s="888" t="s">
        <v>2485</v>
      </c>
      <c r="D374" s="520" t="s">
        <v>1555</v>
      </c>
      <c r="E374" s="141" t="s">
        <v>1547</v>
      </c>
      <c r="I374" s="641">
        <v>0.75</v>
      </c>
      <c r="J374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374" s="625">
        <f>Таблица7[[#This Row],[Размер отряда минимум]]*1.25</f>
        <v>18.75</v>
      </c>
      <c r="L374" s="625">
        <f>Таблица7[[#This Row],[Размер отряда норма]]*1.5</f>
        <v>28.125</v>
      </c>
      <c r="M374" s="626">
        <f>Таблица7[[#This Row],[Размер отряда минимум]]*2.5</f>
        <v>37.5</v>
      </c>
      <c r="N374" s="626"/>
      <c r="O374" s="626"/>
      <c r="P374" s="626"/>
      <c r="Q374" s="626"/>
      <c r="R374" s="142" t="s">
        <v>27</v>
      </c>
      <c r="S374" s="888" t="s">
        <v>2478</v>
      </c>
      <c r="T374" s="520" t="s">
        <v>975</v>
      </c>
      <c r="U374" s="889" t="s">
        <v>1766</v>
      </c>
      <c r="V374" s="890" t="s">
        <v>2487</v>
      </c>
      <c r="W374" s="520" t="s">
        <v>1001</v>
      </c>
      <c r="X374" s="141" t="s">
        <v>2105</v>
      </c>
      <c r="Y374" s="141" t="s">
        <v>2024</v>
      </c>
      <c r="Z374" s="141" t="s">
        <v>1036</v>
      </c>
      <c r="AA374" s="141" t="s">
        <v>1929</v>
      </c>
      <c r="AD374" s="190" t="s">
        <v>1002</v>
      </c>
      <c r="AE374" s="889" t="s">
        <v>2025</v>
      </c>
      <c r="AF374" s="520" t="s">
        <v>985</v>
      </c>
      <c r="AG374" s="520"/>
      <c r="AH374" s="520" t="s">
        <v>985</v>
      </c>
      <c r="AI374" s="520"/>
      <c r="AJ374" s="511" t="s">
        <v>1004</v>
      </c>
      <c r="AK374" s="511" t="s">
        <v>1952</v>
      </c>
      <c r="AL374" s="521" t="s">
        <v>1163</v>
      </c>
      <c r="AM374" s="520" t="s">
        <v>977</v>
      </c>
      <c r="AN374" s="520" t="s">
        <v>999</v>
      </c>
      <c r="AO374" s="888" t="s">
        <v>2032</v>
      </c>
      <c r="AP374" s="888" t="s">
        <v>2484</v>
      </c>
      <c r="AQ374" s="888" t="s">
        <v>2489</v>
      </c>
      <c r="AS374" s="141">
        <v>1500</v>
      </c>
      <c r="AT374" s="143">
        <v>1565</v>
      </c>
      <c r="AU374" s="405">
        <v>7</v>
      </c>
      <c r="AV374" s="405"/>
      <c r="AW374" s="405">
        <f>VLOOKUP(Таблица7[[#This Row],[Основное оружие]], Оружие[#All], 2, 0)</f>
        <v>2</v>
      </c>
      <c r="AX374" s="405">
        <f>IF(ISBLANK(Таблица7[[#This Row],[Дополнительное оружие]]),"", VLOOKUP(Таблица7[[#This Row],[Дополнительное оружие]], Оружие[#All], 2, 0))</f>
        <v>5</v>
      </c>
      <c r="AY37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37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37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374" s="405">
        <f>VLOOKUP(Таблица7[[#This Row],[Основное оружие]], Оружие[#All], 3, 0)</f>
        <v>10</v>
      </c>
      <c r="BC374" s="405">
        <f>IF(ISBLANK(Таблица7[[#This Row],[Дополнительное оружие]]),"", VLOOKUP(Таблица7[[#This Row],[Дополнительное оружие]], Оружие[#All], 3, 0))</f>
        <v>3</v>
      </c>
      <c r="BD37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37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7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7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7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4" s="405">
        <f>Таблица7[[#This Row],[Броня]]+Таблица7[[#This Row],[Щит]]+Таблица7[[#This Row],[навык защиты]]</f>
        <v>24</v>
      </c>
      <c r="BK374" s="1006"/>
      <c r="BL374" s="1006"/>
      <c r="BM374" s="395"/>
      <c r="BN374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74" s="395">
        <v>2</v>
      </c>
      <c r="BP374" s="395">
        <v>-2</v>
      </c>
      <c r="BQ374" s="395">
        <v>0</v>
      </c>
      <c r="BR374" s="395">
        <v>-4</v>
      </c>
      <c r="BS374" s="395">
        <v>-2</v>
      </c>
      <c r="BT374" s="395">
        <v>10</v>
      </c>
      <c r="BU374" s="995" t="s">
        <v>1840</v>
      </c>
      <c r="BV374" s="995" t="s">
        <v>1844</v>
      </c>
      <c r="BW374" s="395"/>
      <c r="BX374" s="395"/>
      <c r="BY374" s="395"/>
      <c r="BZ374" s="144"/>
    </row>
    <row r="375" spans="1:78" s="141" customFormat="1" ht="40.5" customHeight="1" x14ac:dyDescent="0.25">
      <c r="A375" s="333">
        <v>374</v>
      </c>
      <c r="B375" s="671" t="s">
        <v>1767</v>
      </c>
      <c r="C375" s="888" t="s">
        <v>2486</v>
      </c>
      <c r="D375" s="520" t="s">
        <v>1555</v>
      </c>
      <c r="E375" s="520" t="s">
        <v>1621</v>
      </c>
      <c r="F375" s="520"/>
      <c r="G375" s="520"/>
      <c r="H375" s="520"/>
      <c r="I375" s="641">
        <v>0.75</v>
      </c>
      <c r="J375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375" s="625">
        <f>Таблица7[[#This Row],[Размер отряда минимум]]*1.25</f>
        <v>22.5</v>
      </c>
      <c r="L375" s="625">
        <f>Таблица7[[#This Row],[Размер отряда норма]]*1.5</f>
        <v>33.75</v>
      </c>
      <c r="M375" s="626">
        <f>Таблица7[[#This Row],[Размер отряда минимум]]*2.5</f>
        <v>45</v>
      </c>
      <c r="N375" s="626"/>
      <c r="O375" s="626"/>
      <c r="P375" s="626"/>
      <c r="Q375" s="626"/>
      <c r="R375" s="142" t="s">
        <v>27</v>
      </c>
      <c r="S375" s="888" t="s">
        <v>2478</v>
      </c>
      <c r="T375" s="511" t="s">
        <v>976</v>
      </c>
      <c r="U375" s="889" t="s">
        <v>1768</v>
      </c>
      <c r="V375" s="890" t="s">
        <v>2488</v>
      </c>
      <c r="W375" s="520" t="s">
        <v>1001</v>
      </c>
      <c r="X375" s="141" t="s">
        <v>1950</v>
      </c>
      <c r="Y375" s="141" t="s">
        <v>1949</v>
      </c>
      <c r="Z375" s="141" t="s">
        <v>1440</v>
      </c>
      <c r="AA375" s="141" t="s">
        <v>2020</v>
      </c>
      <c r="AD375" s="190" t="s">
        <v>1481</v>
      </c>
      <c r="AE375" s="190" t="s">
        <v>1978</v>
      </c>
      <c r="AF375" s="520" t="s">
        <v>985</v>
      </c>
      <c r="AG375" s="520"/>
      <c r="AH375" s="520" t="s">
        <v>985</v>
      </c>
      <c r="AI375" s="520"/>
      <c r="AJ375" s="511" t="s">
        <v>1005</v>
      </c>
      <c r="AK375" s="511" t="s">
        <v>2031</v>
      </c>
      <c r="AL375" s="521" t="s">
        <v>985</v>
      </c>
      <c r="AM375" s="520" t="s">
        <v>977</v>
      </c>
      <c r="AN375" s="520" t="s">
        <v>999</v>
      </c>
      <c r="AO375" s="906" t="s">
        <v>2032</v>
      </c>
      <c r="AP375" s="888" t="s">
        <v>2484</v>
      </c>
      <c r="AQ375" s="888" t="s">
        <v>2489</v>
      </c>
      <c r="AS375" s="141">
        <v>1565</v>
      </c>
      <c r="AT375" s="143"/>
      <c r="AU375" s="405">
        <v>7</v>
      </c>
      <c r="AV375" s="405" t="s">
        <v>1827</v>
      </c>
      <c r="AW375" s="405">
        <f>VLOOKUP(Таблица7[[#This Row],[Основное оружие]], Оружие[#All], 2, 0)</f>
        <v>0</v>
      </c>
      <c r="AX375" s="405">
        <f>IF(ISBLANK(Таблица7[[#This Row],[Дополнительное оружие]]),"", VLOOKUP(Таблица7[[#This Row],[Дополнительное оружие]], Оружие[#All], 2, 0))</f>
        <v>4</v>
      </c>
      <c r="AY37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37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7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375" s="405">
        <f>VLOOKUP(Таблица7[[#This Row],[Основное оружие]], Оружие[#All], 3, 0)</f>
        <v>1</v>
      </c>
      <c r="BC375" s="405">
        <f>IF(ISBLANK(Таблица7[[#This Row],[Дополнительное оружие]]),"", VLOOKUP(Таблица7[[#This Row],[Дополнительное оружие]], Оружие[#All], 3, 0))</f>
        <v>3</v>
      </c>
      <c r="BD37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37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7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5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37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7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5" s="405">
        <f>Таблица7[[#This Row],[Броня]]+Таблица7[[#This Row],[Щит]]+Таблица7[[#This Row],[навык защиты]]</f>
        <v>21</v>
      </c>
      <c r="BK375" s="1006"/>
      <c r="BL375" s="1006"/>
      <c r="BM375" s="395"/>
      <c r="BN375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75" s="395">
        <v>2</v>
      </c>
      <c r="BP375" s="395">
        <v>-2</v>
      </c>
      <c r="BQ375" s="395">
        <v>0</v>
      </c>
      <c r="BR375" s="395">
        <v>-4</v>
      </c>
      <c r="BS375" s="395">
        <v>-2</v>
      </c>
      <c r="BT375" s="395">
        <v>10</v>
      </c>
      <c r="BU375" s="995" t="s">
        <v>1840</v>
      </c>
      <c r="BV375" s="995" t="s">
        <v>1844</v>
      </c>
      <c r="BW375" s="395"/>
      <c r="BX375" s="395"/>
      <c r="BY375" s="395"/>
      <c r="BZ375" s="144"/>
    </row>
    <row r="376" spans="1:78" s="141" customFormat="1" ht="40.5" customHeight="1" x14ac:dyDescent="0.25">
      <c r="A376" s="333">
        <v>375</v>
      </c>
      <c r="B376" s="888" t="s">
        <v>2480</v>
      </c>
      <c r="C376" s="888" t="s">
        <v>2490</v>
      </c>
      <c r="D376" s="520" t="s">
        <v>1555</v>
      </c>
      <c r="E376" s="520" t="s">
        <v>1621</v>
      </c>
      <c r="F376" s="520"/>
      <c r="G376" s="520"/>
      <c r="H376" s="520"/>
      <c r="I376" s="641">
        <v>0.5</v>
      </c>
      <c r="J376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376" s="625">
        <f>Таблица7[[#This Row],[Размер отряда минимум]]*1.25</f>
        <v>12.5</v>
      </c>
      <c r="L376" s="625">
        <f>Таблица7[[#This Row],[Размер отряда норма]]*1.5</f>
        <v>18.75</v>
      </c>
      <c r="M376" s="626">
        <f>Таблица7[[#This Row],[Размер отряда минимум]]*2.5</f>
        <v>25</v>
      </c>
      <c r="N376" s="626"/>
      <c r="O376" s="626"/>
      <c r="P376" s="626"/>
      <c r="Q376" s="626"/>
      <c r="R376" s="142" t="s">
        <v>27</v>
      </c>
      <c r="S376" s="888" t="s">
        <v>2478</v>
      </c>
      <c r="T376" s="520" t="s">
        <v>975</v>
      </c>
      <c r="U376" s="889" t="s">
        <v>1769</v>
      </c>
      <c r="V376" s="890" t="s">
        <v>2491</v>
      </c>
      <c r="W376" s="520" t="s">
        <v>1001</v>
      </c>
      <c r="X376" s="141" t="s">
        <v>2105</v>
      </c>
      <c r="Y376" s="141" t="s">
        <v>2024</v>
      </c>
      <c r="Z376" s="141" t="s">
        <v>1036</v>
      </c>
      <c r="AA376" s="141" t="s">
        <v>1929</v>
      </c>
      <c r="AD376" s="190" t="s">
        <v>1004</v>
      </c>
      <c r="AE376" s="190" t="s">
        <v>1952</v>
      </c>
      <c r="AF376" s="520" t="s">
        <v>985</v>
      </c>
      <c r="AG376" s="520"/>
      <c r="AH376" s="520" t="s">
        <v>985</v>
      </c>
      <c r="AI376" s="520"/>
      <c r="AJ376" s="511" t="s">
        <v>985</v>
      </c>
      <c r="AK376" s="511"/>
      <c r="AL376" s="521" t="s">
        <v>1163</v>
      </c>
      <c r="AM376" s="520" t="s">
        <v>935</v>
      </c>
      <c r="AN376" s="520" t="s">
        <v>952</v>
      </c>
      <c r="AO376" s="888" t="s">
        <v>1871</v>
      </c>
      <c r="AP376" s="888" t="s">
        <v>952</v>
      </c>
      <c r="AQ376" s="888" t="s">
        <v>1871</v>
      </c>
      <c r="AS376" s="141">
        <v>1500</v>
      </c>
      <c r="AT376" s="143">
        <v>1565</v>
      </c>
      <c r="AU376" s="405">
        <v>10</v>
      </c>
      <c r="AV376" s="405"/>
      <c r="AW376" s="405">
        <f>VLOOKUP(Таблица7[[#This Row],[Основное оружие]], Оружие[#All], 2, 0)</f>
        <v>2</v>
      </c>
      <c r="AX376" s="405">
        <f>IF(ISBLANK(Таблица7[[#This Row],[Дополнительное оружие]]),"", VLOOKUP(Таблица7[[#This Row],[Дополнительное оружие]], Оружие[#All], 2, 0))</f>
        <v>5</v>
      </c>
      <c r="AY37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7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7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376" s="405">
        <f>VLOOKUP(Таблица7[[#This Row],[Основное оружие]], Оружие[#All], 3, 0)</f>
        <v>10</v>
      </c>
      <c r="BC376" s="405">
        <f>IF(ISBLANK(Таблица7[[#This Row],[Дополнительное оружие]]),"", VLOOKUP(Таблица7[[#This Row],[Дополнительное оружие]], Оружие[#All], 3, 0))</f>
        <v>3</v>
      </c>
      <c r="BD37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37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7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7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7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6" s="405">
        <f>Таблица7[[#This Row],[Броня]]+Таблица7[[#This Row],[Щит]]+Таблица7[[#This Row],[навык защиты]]</f>
        <v>29</v>
      </c>
      <c r="BK376" s="1006"/>
      <c r="BL376" s="1006"/>
      <c r="BM376" s="395"/>
      <c r="BN376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76" s="395">
        <v>2</v>
      </c>
      <c r="BP376" s="395">
        <v>-2</v>
      </c>
      <c r="BQ376" s="395">
        <v>0</v>
      </c>
      <c r="BR376" s="395">
        <v>-4</v>
      </c>
      <c r="BS376" s="395">
        <v>-2</v>
      </c>
      <c r="BT376" s="395">
        <v>11</v>
      </c>
      <c r="BU376" s="995" t="s">
        <v>1840</v>
      </c>
      <c r="BV376" s="995" t="s">
        <v>1844</v>
      </c>
      <c r="BW376" s="395"/>
      <c r="BX376" s="395"/>
      <c r="BY376" s="395"/>
      <c r="BZ376" s="144"/>
    </row>
    <row r="377" spans="1:78" s="141" customFormat="1" ht="40.5" customHeight="1" x14ac:dyDescent="0.25">
      <c r="A377" s="333">
        <v>376</v>
      </c>
      <c r="B377" s="888" t="s">
        <v>2480</v>
      </c>
      <c r="C377" s="888" t="s">
        <v>2490</v>
      </c>
      <c r="D377" s="520" t="s">
        <v>1555</v>
      </c>
      <c r="E377" s="520" t="s">
        <v>1621</v>
      </c>
      <c r="F377" s="520"/>
      <c r="G377" s="520"/>
      <c r="H377" s="520"/>
      <c r="I377" s="641">
        <v>0.5</v>
      </c>
      <c r="J377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377" s="625">
        <f>Таблица7[[#This Row],[Размер отряда минимум]]*1.25</f>
        <v>15</v>
      </c>
      <c r="L377" s="625">
        <f>Таблица7[[#This Row],[Размер отряда норма]]*1.5</f>
        <v>22.5</v>
      </c>
      <c r="M377" s="626">
        <f>Таблица7[[#This Row],[Размер отряда минимум]]*2.5</f>
        <v>30</v>
      </c>
      <c r="N377" s="626"/>
      <c r="O377" s="626"/>
      <c r="P377" s="626"/>
      <c r="Q377" s="626"/>
      <c r="R377" s="142" t="s">
        <v>27</v>
      </c>
      <c r="S377" s="888" t="s">
        <v>2478</v>
      </c>
      <c r="T377" s="511" t="s">
        <v>976</v>
      </c>
      <c r="U377" s="752" t="s">
        <v>1769</v>
      </c>
      <c r="V377" s="890" t="s">
        <v>2492</v>
      </c>
      <c r="W377" s="520" t="s">
        <v>1001</v>
      </c>
      <c r="X377" s="141" t="s">
        <v>1950</v>
      </c>
      <c r="Y377" s="141" t="s">
        <v>1949</v>
      </c>
      <c r="Z377" s="141" t="s">
        <v>1440</v>
      </c>
      <c r="AA377" s="141" t="s">
        <v>2020</v>
      </c>
      <c r="AD377" s="190" t="s">
        <v>1005</v>
      </c>
      <c r="AE377" s="190" t="s">
        <v>2031</v>
      </c>
      <c r="AF377" s="520" t="s">
        <v>985</v>
      </c>
      <c r="AG377" s="520"/>
      <c r="AH377" s="520" t="s">
        <v>985</v>
      </c>
      <c r="AI377" s="520"/>
      <c r="AJ377" s="511" t="s">
        <v>985</v>
      </c>
      <c r="AK377" s="511"/>
      <c r="AL377" s="521" t="s">
        <v>985</v>
      </c>
      <c r="AM377" s="520" t="s">
        <v>935</v>
      </c>
      <c r="AN377" s="520" t="s">
        <v>952</v>
      </c>
      <c r="AO377" s="888" t="s">
        <v>1871</v>
      </c>
      <c r="AP377" s="888" t="s">
        <v>952</v>
      </c>
      <c r="AQ377" s="888" t="s">
        <v>1871</v>
      </c>
      <c r="AS377" s="141">
        <v>1565</v>
      </c>
      <c r="AT377" s="143"/>
      <c r="AU377" s="405">
        <v>10</v>
      </c>
      <c r="AV377" s="405" t="s">
        <v>1828</v>
      </c>
      <c r="AW377" s="405">
        <f>VLOOKUP(Таблица7[[#This Row],[Основное оружие]], Оружие[#All], 2, 0)</f>
        <v>0</v>
      </c>
      <c r="AX377" s="405">
        <f>IF(ISBLANK(Таблица7[[#This Row],[Дополнительное оружие]]),"", VLOOKUP(Таблица7[[#This Row],[Дополнительное оружие]], Оружие[#All], 2, 0))</f>
        <v>4</v>
      </c>
      <c r="AY37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7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7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77" s="405">
        <f>VLOOKUP(Таблица7[[#This Row],[Основное оружие]], Оружие[#All], 3, 0)</f>
        <v>1</v>
      </c>
      <c r="BC377" s="405">
        <f>IF(ISBLANK(Таблица7[[#This Row],[Дополнительное оружие]]),"", VLOOKUP(Таблица7[[#This Row],[Дополнительное оружие]], Оружие[#All], 3, 0))</f>
        <v>3</v>
      </c>
      <c r="BD37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37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7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7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7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7" s="405">
        <f>Таблица7[[#This Row],[Броня]]+Таблица7[[#This Row],[Щит]]+Таблица7[[#This Row],[навык защиты]]</f>
        <v>28</v>
      </c>
      <c r="BK377" s="1006"/>
      <c r="BL377" s="1006"/>
      <c r="BM377" s="395"/>
      <c r="BN377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77" s="395">
        <v>2</v>
      </c>
      <c r="BP377" s="395">
        <v>-2</v>
      </c>
      <c r="BQ377" s="395">
        <v>0</v>
      </c>
      <c r="BR377" s="395">
        <v>-4</v>
      </c>
      <c r="BS377" s="395">
        <v>-2</v>
      </c>
      <c r="BT377" s="395">
        <v>11</v>
      </c>
      <c r="BU377" s="995" t="s">
        <v>1840</v>
      </c>
      <c r="BV377" s="995" t="s">
        <v>1844</v>
      </c>
      <c r="BW377" s="395"/>
      <c r="BX377" s="395"/>
      <c r="BY377" s="395"/>
      <c r="BZ377" s="144"/>
    </row>
    <row r="378" spans="1:78" s="146" customFormat="1" ht="40.5" customHeight="1" x14ac:dyDescent="0.25">
      <c r="A378" s="333">
        <v>377</v>
      </c>
      <c r="B378" s="306" t="s">
        <v>1385</v>
      </c>
      <c r="C378" s="894" t="s">
        <v>2507</v>
      </c>
      <c r="D378" s="145" t="s">
        <v>1556</v>
      </c>
      <c r="E378" s="145" t="s">
        <v>1546</v>
      </c>
      <c r="F378" s="145"/>
      <c r="G378" s="145"/>
      <c r="H378" s="145"/>
      <c r="I378" s="640">
        <v>1</v>
      </c>
      <c r="J378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78" s="627">
        <f>Таблица7[[#This Row],[Размер отряда минимум]]*1.25</f>
        <v>112.5</v>
      </c>
      <c r="L378" s="627">
        <f>Таблица7[[#This Row],[Размер отряда норма]]*1.5</f>
        <v>168.75</v>
      </c>
      <c r="M378" s="628">
        <f>Таблица7[[#This Row],[Размер отряда минимум]]*2.5</f>
        <v>225</v>
      </c>
      <c r="N378" s="628"/>
      <c r="O378" s="628"/>
      <c r="P378" s="628"/>
      <c r="Q378" s="628"/>
      <c r="R378" s="679" t="s">
        <v>2499</v>
      </c>
      <c r="S378" s="679" t="s">
        <v>2494</v>
      </c>
      <c r="T378" s="145" t="s">
        <v>975</v>
      </c>
      <c r="U378" s="893" t="s">
        <v>1770</v>
      </c>
      <c r="V378" s="895" t="s">
        <v>2508</v>
      </c>
      <c r="W378" s="145" t="s">
        <v>984</v>
      </c>
      <c r="X378" s="145" t="s">
        <v>1128</v>
      </c>
      <c r="Y378" s="145" t="s">
        <v>2509</v>
      </c>
      <c r="Z378" s="145"/>
      <c r="AA378" s="145"/>
      <c r="AB378" s="145"/>
      <c r="AC378" s="145"/>
      <c r="AD378" s="191" t="s">
        <v>985</v>
      </c>
      <c r="AE378" s="191"/>
      <c r="AF378" s="145" t="s">
        <v>985</v>
      </c>
      <c r="AG378" s="145"/>
      <c r="AH378" s="145" t="s">
        <v>985</v>
      </c>
      <c r="AI378" s="145"/>
      <c r="AJ378" s="191" t="s">
        <v>985</v>
      </c>
      <c r="AK378" s="191"/>
      <c r="AL378" s="209" t="s">
        <v>985</v>
      </c>
      <c r="AM378" s="145" t="s">
        <v>935</v>
      </c>
      <c r="AN378" s="894" t="s">
        <v>1906</v>
      </c>
      <c r="AO378" s="894" t="s">
        <v>1905</v>
      </c>
      <c r="AP378" s="894" t="s">
        <v>2510</v>
      </c>
      <c r="AQ378" s="894" t="s">
        <v>2511</v>
      </c>
      <c r="AR378" s="145"/>
      <c r="AS378" s="145">
        <v>1500</v>
      </c>
      <c r="AT378" s="147">
        <v>1550</v>
      </c>
      <c r="AU378" s="405">
        <v>1</v>
      </c>
      <c r="AV378" s="405"/>
      <c r="AW378" s="405">
        <f>VLOOKUP(Таблица7[[#This Row],[Основное оружие]], Оружие[#All], 2, 0)</f>
        <v>1</v>
      </c>
      <c r="AX378" s="405" t="str">
        <f>IF(ISBLANK(Таблица7[[#This Row],[Дополнительное оружие]]),"", VLOOKUP(Таблица7[[#This Row],[Дополнительное оружие]], Оружие[#All], 2, 0))</f>
        <v/>
      </c>
      <c r="AY37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7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37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78" s="405">
        <f>VLOOKUP(Таблица7[[#This Row],[Основное оружие]], Оружие[#All], 3, 0)</f>
        <v>1</v>
      </c>
      <c r="BC378" s="405" t="str">
        <f>IF(ISBLANK(Таблица7[[#This Row],[Дополнительное оружие]]),"", VLOOKUP(Таблица7[[#This Row],[Дополнительное оружие]], Оружие[#All], 3, 0))</f>
        <v/>
      </c>
      <c r="BD37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7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7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7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7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8" s="405">
        <f>Таблица7[[#This Row],[Броня]]+Таблица7[[#This Row],[Щит]]+Таблица7[[#This Row],[навык защиты]]</f>
        <v>3</v>
      </c>
      <c r="BK378" s="1006"/>
      <c r="BL378" s="1006"/>
      <c r="BM378" s="396"/>
      <c r="BN378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78" s="396">
        <v>2</v>
      </c>
      <c r="BP378" s="396">
        <v>0</v>
      </c>
      <c r="BQ378" s="396">
        <v>-1</v>
      </c>
      <c r="BR378" s="396">
        <v>0</v>
      </c>
      <c r="BS378" s="396">
        <v>1</v>
      </c>
      <c r="BT378" s="396">
        <v>2</v>
      </c>
      <c r="BU378" s="997" t="s">
        <v>1839</v>
      </c>
      <c r="BV378" s="997" t="s">
        <v>1842</v>
      </c>
      <c r="BW378" s="396"/>
      <c r="BX378" s="396"/>
      <c r="BY378" s="396"/>
      <c r="BZ378" s="148"/>
    </row>
    <row r="379" spans="1:78" s="146" customFormat="1" ht="40.5" customHeight="1" x14ac:dyDescent="0.25">
      <c r="A379" s="333">
        <v>378</v>
      </c>
      <c r="B379" s="894" t="s">
        <v>1771</v>
      </c>
      <c r="C379" s="894" t="s">
        <v>2516</v>
      </c>
      <c r="D379" s="145" t="s">
        <v>1556</v>
      </c>
      <c r="E379" s="145" t="s">
        <v>1561</v>
      </c>
      <c r="F379" s="145"/>
      <c r="G379" s="145"/>
      <c r="H379" s="145"/>
      <c r="I379" s="640">
        <v>0.9</v>
      </c>
      <c r="J379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379" s="627">
        <f>Таблица7[[#This Row],[Размер отряда минимум]]*1.25</f>
        <v>101.25</v>
      </c>
      <c r="L379" s="627">
        <f>Таблица7[[#This Row],[Размер отряда норма]]*1.5</f>
        <v>151.875</v>
      </c>
      <c r="M379" s="628">
        <f>Таблица7[[#This Row],[Размер отряда минимум]]*2.5</f>
        <v>202.5</v>
      </c>
      <c r="N379" s="628"/>
      <c r="O379" s="628"/>
      <c r="P379" s="628"/>
      <c r="Q379" s="628"/>
      <c r="R379" s="145" t="s">
        <v>1131</v>
      </c>
      <c r="S379" s="892" t="s">
        <v>2493</v>
      </c>
      <c r="T379" s="145" t="s">
        <v>975</v>
      </c>
      <c r="U379" s="893" t="s">
        <v>1772</v>
      </c>
      <c r="V379" s="895" t="s">
        <v>2517</v>
      </c>
      <c r="W379" s="145" t="s">
        <v>993</v>
      </c>
      <c r="X379" s="145" t="s">
        <v>994</v>
      </c>
      <c r="Y379" s="894" t="s">
        <v>1932</v>
      </c>
      <c r="Z379" s="145"/>
      <c r="AA379" s="894"/>
      <c r="AB379" s="145"/>
      <c r="AC379" s="145"/>
      <c r="AD379" s="191" t="s">
        <v>1158</v>
      </c>
      <c r="AE379" s="893" t="s">
        <v>1962</v>
      </c>
      <c r="AF379" s="145" t="s">
        <v>1211</v>
      </c>
      <c r="AG379" s="894" t="s">
        <v>1963</v>
      </c>
      <c r="AH379" s="145" t="s">
        <v>985</v>
      </c>
      <c r="AI379" s="145"/>
      <c r="AJ379" s="191" t="s">
        <v>985</v>
      </c>
      <c r="AK379" s="191"/>
      <c r="AL379" s="209" t="s">
        <v>985</v>
      </c>
      <c r="AM379" s="145" t="s">
        <v>978</v>
      </c>
      <c r="AN379" s="145" t="s">
        <v>992</v>
      </c>
      <c r="AO379" s="145" t="s">
        <v>1904</v>
      </c>
      <c r="AP379" s="145" t="s">
        <v>2512</v>
      </c>
      <c r="AQ379" s="145" t="s">
        <v>2514</v>
      </c>
      <c r="AR379" s="145"/>
      <c r="AS379" s="145">
        <v>1500</v>
      </c>
      <c r="AT379" s="147">
        <v>1550</v>
      </c>
      <c r="AU379" s="444">
        <v>5</v>
      </c>
      <c r="AV379" s="405"/>
      <c r="AW379" s="405">
        <f>VLOOKUP(Таблица7[[#This Row],[Основное оружие]], Оружие[#All], 2, 0)</f>
        <v>1</v>
      </c>
      <c r="AX379" s="405" t="str">
        <f>IF(ISBLANK(Таблица7[[#This Row],[Дополнительное оружие]]),"", VLOOKUP(Таблица7[[#This Row],[Дополнительное оружие]], Оружие[#All], 2, 0))</f>
        <v/>
      </c>
      <c r="AY37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7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379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79" s="405">
        <f>VLOOKUP(Таблица7[[#This Row],[Основное оружие]], Оружие[#All], 3, 0)</f>
        <v>1</v>
      </c>
      <c r="BC379" s="405" t="str">
        <f>IF(ISBLANK(Таблица7[[#This Row],[Дополнительное оружие]]),"", VLOOKUP(Таблица7[[#This Row],[Дополнительное оружие]], Оружие[#All], 3, 0))</f>
        <v/>
      </c>
      <c r="BD37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7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7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7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7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7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79" s="405">
        <f>Таблица7[[#This Row],[Броня]]+Таблица7[[#This Row],[Щит]]+Таблица7[[#This Row],[навык защиты]]</f>
        <v>16</v>
      </c>
      <c r="BK379" s="1006"/>
      <c r="BL379" s="1006"/>
      <c r="BM379" s="396"/>
      <c r="BN379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79" s="396">
        <v>2</v>
      </c>
      <c r="BP379" s="396">
        <v>-1</v>
      </c>
      <c r="BQ379" s="396">
        <v>-1</v>
      </c>
      <c r="BR379" s="396">
        <v>-2</v>
      </c>
      <c r="BS379" s="396">
        <v>1</v>
      </c>
      <c r="BT379" s="396">
        <v>5</v>
      </c>
      <c r="BU379" s="997" t="s">
        <v>1576</v>
      </c>
      <c r="BV379" s="997" t="s">
        <v>1843</v>
      </c>
      <c r="BW379" s="396"/>
      <c r="BX379" s="396"/>
      <c r="BY379" s="396"/>
      <c r="BZ379" s="148"/>
    </row>
    <row r="380" spans="1:78" s="146" customFormat="1" ht="40.5" customHeight="1" x14ac:dyDescent="0.25">
      <c r="A380" s="333">
        <v>379</v>
      </c>
      <c r="B380" s="678" t="s">
        <v>1771</v>
      </c>
      <c r="C380" s="894" t="s">
        <v>2516</v>
      </c>
      <c r="D380" s="145" t="s">
        <v>1556</v>
      </c>
      <c r="E380" s="145" t="s">
        <v>1561</v>
      </c>
      <c r="F380" s="145"/>
      <c r="G380" s="145"/>
      <c r="H380" s="145"/>
      <c r="I380" s="640">
        <v>0.9</v>
      </c>
      <c r="J380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380" s="627">
        <f>Таблица7[[#This Row],[Размер отряда минимум]]*1.25</f>
        <v>112.5</v>
      </c>
      <c r="L380" s="627">
        <f>Таблица7[[#This Row],[Размер отряда норма]]*1.5</f>
        <v>168.75</v>
      </c>
      <c r="M380" s="628">
        <f>Таблица7[[#This Row],[Размер отряда минимум]]*2.5</f>
        <v>225</v>
      </c>
      <c r="N380" s="628"/>
      <c r="O380" s="628"/>
      <c r="P380" s="628"/>
      <c r="Q380" s="628"/>
      <c r="R380" s="145" t="s">
        <v>1131</v>
      </c>
      <c r="S380" s="892" t="s">
        <v>2493</v>
      </c>
      <c r="T380" s="145" t="s">
        <v>976</v>
      </c>
      <c r="U380" s="753" t="s">
        <v>1772</v>
      </c>
      <c r="V380" s="895" t="s">
        <v>2517</v>
      </c>
      <c r="W380" s="145" t="s">
        <v>993</v>
      </c>
      <c r="X380" s="145" t="s">
        <v>994</v>
      </c>
      <c r="Y380" s="894" t="s">
        <v>1932</v>
      </c>
      <c r="Z380" s="145"/>
      <c r="AA380" s="894"/>
      <c r="AB380" s="145"/>
      <c r="AC380" s="145"/>
      <c r="AD380" s="191" t="s">
        <v>1158</v>
      </c>
      <c r="AE380" s="893" t="s">
        <v>1962</v>
      </c>
      <c r="AF380" s="145" t="s">
        <v>1211</v>
      </c>
      <c r="AG380" s="145" t="s">
        <v>1963</v>
      </c>
      <c r="AH380" s="145" t="s">
        <v>985</v>
      </c>
      <c r="AI380" s="145"/>
      <c r="AJ380" s="191" t="s">
        <v>985</v>
      </c>
      <c r="AK380" s="191"/>
      <c r="AL380" s="209" t="s">
        <v>985</v>
      </c>
      <c r="AM380" s="145" t="s">
        <v>978</v>
      </c>
      <c r="AN380" s="145" t="s">
        <v>992</v>
      </c>
      <c r="AO380" s="903" t="s">
        <v>1904</v>
      </c>
      <c r="AP380" s="145" t="s">
        <v>2512</v>
      </c>
      <c r="AQ380" s="145" t="s">
        <v>2514</v>
      </c>
      <c r="AR380" s="145"/>
      <c r="AS380" s="145">
        <v>1550</v>
      </c>
      <c r="AT380" s="147"/>
      <c r="AU380" s="444">
        <v>4</v>
      </c>
      <c r="AV380" s="405"/>
      <c r="AW380" s="405">
        <f>VLOOKUP(Таблица7[[#This Row],[Основное оружие]], Оружие[#All], 2, 0)</f>
        <v>1</v>
      </c>
      <c r="AX380" s="405" t="str">
        <f>IF(ISBLANK(Таблица7[[#This Row],[Дополнительное оружие]]),"", VLOOKUP(Таблица7[[#This Row],[Дополнительное оружие]], Оружие[#All], 2, 0))</f>
        <v/>
      </c>
      <c r="AY38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38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3</v>
      </c>
      <c r="BA380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80" s="405">
        <f>VLOOKUP(Таблица7[[#This Row],[Основное оружие]], Оружие[#All], 3, 0)</f>
        <v>1</v>
      </c>
      <c r="BC380" s="405" t="str">
        <f>IF(ISBLANK(Таблица7[[#This Row],[Дополнительное оружие]]),"", VLOOKUP(Таблица7[[#This Row],[Дополнительное оружие]], Оружие[#All], 3, 0))</f>
        <v/>
      </c>
      <c r="BD38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38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38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8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8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0" s="405">
        <f>Таблица7[[#This Row],[Броня]]+Таблица7[[#This Row],[Щит]]+Таблица7[[#This Row],[навык защиты]]</f>
        <v>15</v>
      </c>
      <c r="BK380" s="1006"/>
      <c r="BL380" s="1006"/>
      <c r="BM380" s="396"/>
      <c r="BN380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80" s="396">
        <v>2</v>
      </c>
      <c r="BP380" s="396">
        <v>-1</v>
      </c>
      <c r="BQ380" s="396">
        <v>-1</v>
      </c>
      <c r="BR380" s="396">
        <v>-2</v>
      </c>
      <c r="BS380" s="396">
        <v>1</v>
      </c>
      <c r="BT380" s="396">
        <v>5</v>
      </c>
      <c r="BU380" s="997" t="s">
        <v>1576</v>
      </c>
      <c r="BV380" s="997" t="s">
        <v>1843</v>
      </c>
      <c r="BW380" s="396"/>
      <c r="BX380" s="396"/>
      <c r="BY380" s="396"/>
      <c r="BZ380" s="148"/>
    </row>
    <row r="381" spans="1:78" s="146" customFormat="1" ht="40.5" customHeight="1" x14ac:dyDescent="0.25">
      <c r="A381" s="333">
        <v>380</v>
      </c>
      <c r="B381" s="894" t="s">
        <v>2518</v>
      </c>
      <c r="C381" s="894" t="s">
        <v>2519</v>
      </c>
      <c r="D381" s="145" t="s">
        <v>1556</v>
      </c>
      <c r="E381" s="145" t="s">
        <v>1547</v>
      </c>
      <c r="F381" s="145"/>
      <c r="G381" s="145"/>
      <c r="H381" s="145"/>
      <c r="I381" s="640">
        <v>0.9</v>
      </c>
      <c r="J381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72</v>
      </c>
      <c r="K381" s="627">
        <f>Таблица7[[#This Row],[Размер отряда минимум]]*1.25</f>
        <v>90</v>
      </c>
      <c r="L381" s="627">
        <f>Таблица7[[#This Row],[Размер отряда норма]]*1.5</f>
        <v>135</v>
      </c>
      <c r="M381" s="628">
        <f>Таблица7[[#This Row],[Размер отряда минимум]]*2.5</f>
        <v>180</v>
      </c>
      <c r="N381" s="628"/>
      <c r="O381" s="628"/>
      <c r="P381" s="628"/>
      <c r="Q381" s="628"/>
      <c r="R381" s="145" t="s">
        <v>1131</v>
      </c>
      <c r="S381" s="892" t="s">
        <v>2493</v>
      </c>
      <c r="T381" s="145" t="s">
        <v>975</v>
      </c>
      <c r="U381" s="893" t="s">
        <v>1773</v>
      </c>
      <c r="V381" s="895" t="s">
        <v>2520</v>
      </c>
      <c r="W381" s="145" t="s">
        <v>993</v>
      </c>
      <c r="X381" s="145" t="s">
        <v>996</v>
      </c>
      <c r="Y381" s="894" t="s">
        <v>1973</v>
      </c>
      <c r="Z381" s="145"/>
      <c r="AA381" s="145"/>
      <c r="AB381" s="145"/>
      <c r="AC381" s="145"/>
      <c r="AD381" s="191" t="s">
        <v>1482</v>
      </c>
      <c r="AE381" s="191" t="s">
        <v>1975</v>
      </c>
      <c r="AF381" s="145" t="s">
        <v>1481</v>
      </c>
      <c r="AG381" s="145" t="s">
        <v>1978</v>
      </c>
      <c r="AH381" s="145" t="s">
        <v>985</v>
      </c>
      <c r="AI381" s="145"/>
      <c r="AJ381" s="903" t="s">
        <v>985</v>
      </c>
      <c r="AK381" s="894"/>
      <c r="AL381" s="209" t="s">
        <v>985</v>
      </c>
      <c r="AM381" s="145" t="s">
        <v>977</v>
      </c>
      <c r="AN381" s="894" t="s">
        <v>2380</v>
      </c>
      <c r="AO381" s="894" t="s">
        <v>2063</v>
      </c>
      <c r="AP381" s="145" t="s">
        <v>2512</v>
      </c>
      <c r="AQ381" s="145" t="s">
        <v>2514</v>
      </c>
      <c r="AR381" s="145"/>
      <c r="AS381" s="145">
        <v>1500</v>
      </c>
      <c r="AT381" s="147">
        <v>1550</v>
      </c>
      <c r="AU381" s="405">
        <v>7</v>
      </c>
      <c r="AV381" s="405"/>
      <c r="AW381" s="405">
        <f>VLOOKUP(Таблица7[[#This Row],[Основное оружие]], Оружие[#All], 2, 0)</f>
        <v>7</v>
      </c>
      <c r="AX381" s="405" t="str">
        <f>IF(ISBLANK(Таблица7[[#This Row],[Дополнительное оружие]]),"", VLOOKUP(Таблица7[[#This Row],[Дополнительное оружие]], Оружие[#All], 2, 0))</f>
        <v/>
      </c>
      <c r="AY38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38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38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81" s="405">
        <f>VLOOKUP(Таблица7[[#This Row],[Основное оружие]], Оружие[#All], 3, 0)</f>
        <v>3</v>
      </c>
      <c r="BC381" s="405" t="str">
        <f>IF(ISBLANK(Таблица7[[#This Row],[Дополнительное оружие]]),"", VLOOKUP(Таблица7[[#This Row],[Дополнительное оружие]], Оружие[#All], 3, 0))</f>
        <v/>
      </c>
      <c r="BD38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8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8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8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38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1" s="405">
        <f>Таблица7[[#This Row],[Броня]]+Таблица7[[#This Row],[Щит]]+Таблица7[[#This Row],[навык защиты]]</f>
        <v>24</v>
      </c>
      <c r="BK381" s="1006"/>
      <c r="BL381" s="1006"/>
      <c r="BM381" s="396"/>
      <c r="BN381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81" s="396">
        <v>2</v>
      </c>
      <c r="BP381" s="396">
        <v>0</v>
      </c>
      <c r="BQ381" s="396">
        <v>-1</v>
      </c>
      <c r="BR381" s="396">
        <v>-1</v>
      </c>
      <c r="BS381" s="396">
        <v>1</v>
      </c>
      <c r="BT381" s="396">
        <v>10</v>
      </c>
      <c r="BU381" s="997" t="s">
        <v>1840</v>
      </c>
      <c r="BV381" s="997" t="s">
        <v>1844</v>
      </c>
      <c r="BW381" s="396"/>
      <c r="BX381" s="396"/>
      <c r="BY381" s="396"/>
      <c r="BZ381" s="148"/>
    </row>
    <row r="382" spans="1:78" s="146" customFormat="1" ht="40.5" customHeight="1" x14ac:dyDescent="0.25">
      <c r="A382" s="333">
        <v>381</v>
      </c>
      <c r="B382" s="894" t="s">
        <v>2518</v>
      </c>
      <c r="C382" s="903" t="s">
        <v>2519</v>
      </c>
      <c r="D382" s="145" t="s">
        <v>1556</v>
      </c>
      <c r="E382" s="145" t="s">
        <v>1547</v>
      </c>
      <c r="F382" s="145"/>
      <c r="G382" s="145"/>
      <c r="H382" s="145"/>
      <c r="I382" s="640">
        <v>0.9</v>
      </c>
      <c r="J382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382" s="627">
        <f>Таблица7[[#This Row],[Размер отряда минимум]]*1.25</f>
        <v>101.25</v>
      </c>
      <c r="L382" s="627">
        <f>Таблица7[[#This Row],[Размер отряда норма]]*1.5</f>
        <v>151.875</v>
      </c>
      <c r="M382" s="628">
        <f>Таблица7[[#This Row],[Размер отряда минимум]]*2.5</f>
        <v>202.5</v>
      </c>
      <c r="N382" s="628"/>
      <c r="O382" s="628"/>
      <c r="P382" s="628"/>
      <c r="Q382" s="628"/>
      <c r="R382" s="145" t="s">
        <v>1131</v>
      </c>
      <c r="S382" s="892" t="s">
        <v>2493</v>
      </c>
      <c r="T382" s="145" t="s">
        <v>976</v>
      </c>
      <c r="U382" s="753" t="s">
        <v>1773</v>
      </c>
      <c r="V382" s="895" t="s">
        <v>2520</v>
      </c>
      <c r="W382" s="145" t="s">
        <v>993</v>
      </c>
      <c r="X382" s="145" t="s">
        <v>996</v>
      </c>
      <c r="Y382" s="894" t="s">
        <v>1973</v>
      </c>
      <c r="Z382" s="145"/>
      <c r="AA382" s="145"/>
      <c r="AB382" s="145"/>
      <c r="AC382" s="145"/>
      <c r="AD382" s="191" t="s">
        <v>1482</v>
      </c>
      <c r="AE382" s="191" t="s">
        <v>1975</v>
      </c>
      <c r="AF382" s="145" t="s">
        <v>1481</v>
      </c>
      <c r="AG382" s="145" t="s">
        <v>1978</v>
      </c>
      <c r="AH382" s="145" t="s">
        <v>985</v>
      </c>
      <c r="AI382" s="145"/>
      <c r="AJ382" s="903" t="s">
        <v>985</v>
      </c>
      <c r="AK382" s="894"/>
      <c r="AL382" s="209" t="s">
        <v>985</v>
      </c>
      <c r="AM382" s="145" t="s">
        <v>977</v>
      </c>
      <c r="AN382" s="894" t="s">
        <v>2380</v>
      </c>
      <c r="AO382" s="894" t="s">
        <v>2063</v>
      </c>
      <c r="AP382" s="145" t="s">
        <v>2512</v>
      </c>
      <c r="AQ382" s="145" t="s">
        <v>2514</v>
      </c>
      <c r="AR382" s="145"/>
      <c r="AS382" s="145">
        <v>1550</v>
      </c>
      <c r="AT382" s="147"/>
      <c r="AU382" s="405">
        <v>4</v>
      </c>
      <c r="AV382" s="405"/>
      <c r="AW382" s="405">
        <f>VLOOKUP(Таблица7[[#This Row],[Основное оружие]], Оружие[#All], 2, 0)</f>
        <v>7</v>
      </c>
      <c r="AX382" s="405" t="str">
        <f>IF(ISBLANK(Таблица7[[#This Row],[Дополнительное оружие]]),"", VLOOKUP(Таблица7[[#This Row],[Дополнительное оружие]], Оружие[#All], 2, 0))</f>
        <v/>
      </c>
      <c r="AY38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38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8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82" s="405">
        <f>VLOOKUP(Таблица7[[#This Row],[Основное оружие]], Оружие[#All], 3, 0)</f>
        <v>3</v>
      </c>
      <c r="BC382" s="405" t="str">
        <f>IF(ISBLANK(Таблица7[[#This Row],[Дополнительное оружие]]),"", VLOOKUP(Таблица7[[#This Row],[Дополнительное оружие]], Оружие[#All], 3, 0))</f>
        <v/>
      </c>
      <c r="BD38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8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8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8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8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2" s="405">
        <f>Таблица7[[#This Row],[Броня]]+Таблица7[[#This Row],[Щит]]+Таблица7[[#This Row],[навык защиты]]</f>
        <v>21</v>
      </c>
      <c r="BK382" s="1006"/>
      <c r="BL382" s="1006"/>
      <c r="BM382" s="396"/>
      <c r="BN382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82" s="396">
        <v>2</v>
      </c>
      <c r="BP382" s="396">
        <v>0</v>
      </c>
      <c r="BQ382" s="396">
        <v>-1</v>
      </c>
      <c r="BR382" s="396">
        <v>-1</v>
      </c>
      <c r="BS382" s="396">
        <v>1</v>
      </c>
      <c r="BT382" s="396">
        <v>7</v>
      </c>
      <c r="BU382" s="997" t="s">
        <v>1576</v>
      </c>
      <c r="BV382" s="997" t="s">
        <v>1843</v>
      </c>
      <c r="BW382" s="396"/>
      <c r="BX382" s="396"/>
      <c r="BY382" s="396"/>
      <c r="BZ382" s="148"/>
    </row>
    <row r="383" spans="1:78" s="146" customFormat="1" ht="40.5" customHeight="1" x14ac:dyDescent="0.25">
      <c r="A383" s="333">
        <v>382</v>
      </c>
      <c r="B383" s="678" t="s">
        <v>1774</v>
      </c>
      <c r="C383" s="894" t="s">
        <v>2521</v>
      </c>
      <c r="D383" s="145" t="s">
        <v>1556</v>
      </c>
      <c r="E383" s="145" t="s">
        <v>1547</v>
      </c>
      <c r="F383" s="145"/>
      <c r="G383" s="145"/>
      <c r="H383" s="145"/>
      <c r="I383" s="640">
        <v>0.3</v>
      </c>
      <c r="J383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383" s="627">
        <f>Таблица7[[#This Row],[Размер отряда минимум]]*1.25</f>
        <v>30</v>
      </c>
      <c r="L383" s="627">
        <f>Таблица7[[#This Row],[Размер отряда норма]]*1.5</f>
        <v>45</v>
      </c>
      <c r="M383" s="628">
        <f>Таблица7[[#This Row],[Размер отряда минимум]]*2.5</f>
        <v>60</v>
      </c>
      <c r="N383" s="628"/>
      <c r="O383" s="628"/>
      <c r="P383" s="628"/>
      <c r="Q383" s="628"/>
      <c r="R383" s="145" t="s">
        <v>1131</v>
      </c>
      <c r="S383" s="892" t="s">
        <v>2493</v>
      </c>
      <c r="T383" s="145" t="s">
        <v>975</v>
      </c>
      <c r="U383" s="893" t="s">
        <v>2522</v>
      </c>
      <c r="V383" s="895" t="s">
        <v>2523</v>
      </c>
      <c r="W383" s="145" t="s">
        <v>1001</v>
      </c>
      <c r="X383" s="440" t="s">
        <v>987</v>
      </c>
      <c r="Y383" s="440" t="s">
        <v>1925</v>
      </c>
      <c r="Z383" s="145"/>
      <c r="AA383" s="145"/>
      <c r="AB383" s="145"/>
      <c r="AC383" s="145"/>
      <c r="AD383" s="191" t="s">
        <v>1482</v>
      </c>
      <c r="AE383" s="191" t="s">
        <v>1975</v>
      </c>
      <c r="AF383" s="145" t="s">
        <v>1481</v>
      </c>
      <c r="AG383" s="145" t="s">
        <v>1978</v>
      </c>
      <c r="AH383" s="145" t="s">
        <v>985</v>
      </c>
      <c r="AI383" s="145"/>
      <c r="AJ383" s="145" t="s">
        <v>1004</v>
      </c>
      <c r="AK383" s="894" t="s">
        <v>1952</v>
      </c>
      <c r="AL383" s="209" t="s">
        <v>985</v>
      </c>
      <c r="AM383" s="145" t="s">
        <v>978</v>
      </c>
      <c r="AN383" s="145" t="s">
        <v>1129</v>
      </c>
      <c r="AO383" s="894" t="s">
        <v>2524</v>
      </c>
      <c r="AP383" s="145" t="s">
        <v>2512</v>
      </c>
      <c r="AQ383" s="145" t="s">
        <v>2514</v>
      </c>
      <c r="AR383" s="145"/>
      <c r="AS383" s="145">
        <v>1500</v>
      </c>
      <c r="AT383" s="147">
        <v>1550</v>
      </c>
      <c r="AU383" s="405">
        <v>3</v>
      </c>
      <c r="AV383" s="405"/>
      <c r="AW383" s="405">
        <f>VLOOKUP(Таблица7[[#This Row],[Основное оружие]], Оружие[#All], 2, 0)</f>
        <v>8</v>
      </c>
      <c r="AX383" s="405" t="str">
        <f>IF(ISBLANK(Таблица7[[#This Row],[Дополнительное оружие]]),"", VLOOKUP(Таблица7[[#This Row],[Дополнительное оружие]], Оружие[#All], 2, 0))</f>
        <v/>
      </c>
      <c r="AY38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38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8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83" s="405">
        <f>VLOOKUP(Таблица7[[#This Row],[Основное оружие]], Оружие[#All], 3, 0)</f>
        <v>8</v>
      </c>
      <c r="BC383" s="405" t="str">
        <f>IF(ISBLANK(Таблица7[[#This Row],[Дополнительное оружие]]),"", VLOOKUP(Таблица7[[#This Row],[Дополнительное оружие]], Оружие[#All], 3, 0))</f>
        <v/>
      </c>
      <c r="BD38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8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8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8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38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3" s="405">
        <f>Таблица7[[#This Row],[Броня]]+Таблица7[[#This Row],[Щит]]+Таблица7[[#This Row],[навык защиты]]</f>
        <v>20</v>
      </c>
      <c r="BK383" s="1006"/>
      <c r="BL383" s="1006"/>
      <c r="BM383" s="396"/>
      <c r="BN383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83" s="396">
        <v>2</v>
      </c>
      <c r="BP383" s="396">
        <v>0</v>
      </c>
      <c r="BQ383" s="396">
        <v>-1</v>
      </c>
      <c r="BR383" s="396">
        <v>0</v>
      </c>
      <c r="BS383" s="396">
        <v>1</v>
      </c>
      <c r="BT383" s="396">
        <v>5</v>
      </c>
      <c r="BU383" s="997" t="s">
        <v>1576</v>
      </c>
      <c r="BV383" s="997" t="s">
        <v>1842</v>
      </c>
      <c r="BW383" s="396"/>
      <c r="BX383" s="396"/>
      <c r="BY383" s="396"/>
      <c r="BZ383" s="148"/>
    </row>
    <row r="384" spans="1:78" s="146" customFormat="1" ht="40.5" customHeight="1" x14ac:dyDescent="0.25">
      <c r="A384" s="333">
        <v>383</v>
      </c>
      <c r="B384" s="678" t="s">
        <v>1774</v>
      </c>
      <c r="C384" s="894" t="s">
        <v>2521</v>
      </c>
      <c r="D384" s="145" t="s">
        <v>1556</v>
      </c>
      <c r="E384" s="145" t="s">
        <v>1547</v>
      </c>
      <c r="F384" s="145"/>
      <c r="G384" s="145"/>
      <c r="H384" s="145"/>
      <c r="I384" s="640">
        <v>0.3</v>
      </c>
      <c r="J384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384" s="627">
        <f>Таблица7[[#This Row],[Размер отряда минимум]]*1.25</f>
        <v>33.75</v>
      </c>
      <c r="L384" s="627">
        <f>Таблица7[[#This Row],[Размер отряда норма]]*1.5</f>
        <v>50.625</v>
      </c>
      <c r="M384" s="628">
        <f>Таблица7[[#This Row],[Размер отряда минимум]]*2.5</f>
        <v>67.5</v>
      </c>
      <c r="N384" s="628"/>
      <c r="O384" s="628"/>
      <c r="P384" s="628"/>
      <c r="Q384" s="628"/>
      <c r="R384" s="145" t="s">
        <v>1131</v>
      </c>
      <c r="S384" s="892" t="s">
        <v>2493</v>
      </c>
      <c r="T384" s="145" t="s">
        <v>976</v>
      </c>
      <c r="U384" s="893" t="s">
        <v>2522</v>
      </c>
      <c r="V384" s="895" t="s">
        <v>2523</v>
      </c>
      <c r="W384" s="145" t="s">
        <v>1001</v>
      </c>
      <c r="X384" s="440" t="s">
        <v>987</v>
      </c>
      <c r="Y384" s="440" t="s">
        <v>1925</v>
      </c>
      <c r="Z384" s="145"/>
      <c r="AA384" s="145"/>
      <c r="AB384" s="145"/>
      <c r="AC384" s="145"/>
      <c r="AD384" s="191" t="s">
        <v>1482</v>
      </c>
      <c r="AE384" s="191" t="s">
        <v>1975</v>
      </c>
      <c r="AF384" s="145" t="s">
        <v>1481</v>
      </c>
      <c r="AG384" s="145" t="s">
        <v>1978</v>
      </c>
      <c r="AH384" s="145" t="s">
        <v>985</v>
      </c>
      <c r="AI384" s="145"/>
      <c r="AJ384" s="145" t="s">
        <v>1048</v>
      </c>
      <c r="AK384" s="894" t="s">
        <v>1953</v>
      </c>
      <c r="AL384" s="209" t="s">
        <v>985</v>
      </c>
      <c r="AM384" s="145" t="s">
        <v>978</v>
      </c>
      <c r="AN384" s="145" t="s">
        <v>1129</v>
      </c>
      <c r="AO384" s="894" t="s">
        <v>2524</v>
      </c>
      <c r="AP384" s="145" t="s">
        <v>2512</v>
      </c>
      <c r="AQ384" s="145" t="s">
        <v>2514</v>
      </c>
      <c r="AS384" s="146">
        <v>1550</v>
      </c>
      <c r="AT384" s="149"/>
      <c r="AU384" s="405">
        <v>2</v>
      </c>
      <c r="AV384" s="405"/>
      <c r="AW384" s="405">
        <f>VLOOKUP(Таблица7[[#This Row],[Основное оружие]], Оружие[#All], 2, 0)</f>
        <v>8</v>
      </c>
      <c r="AX384" s="405" t="str">
        <f>IF(ISBLANK(Таблица7[[#This Row],[Дополнительное оружие]]),"", VLOOKUP(Таблица7[[#This Row],[Дополнительное оружие]], Оружие[#All], 2, 0))</f>
        <v/>
      </c>
      <c r="AY38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</v>
      </c>
      <c r="AZ38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38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84" s="405">
        <f>VLOOKUP(Таблица7[[#This Row],[Основное оружие]], Оружие[#All], 3, 0)</f>
        <v>8</v>
      </c>
      <c r="BC384" s="405" t="str">
        <f>IF(ISBLANK(Таблица7[[#This Row],[Дополнительное оружие]]),"", VLOOKUP(Таблица7[[#This Row],[Дополнительное оружие]], Оружие[#All], 3, 0))</f>
        <v/>
      </c>
      <c r="BD38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38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38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38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38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4" s="405">
        <f>Таблица7[[#This Row],[Броня]]+Таблица7[[#This Row],[Щит]]+Таблица7[[#This Row],[навык защиты]]</f>
        <v>19</v>
      </c>
      <c r="BK384" s="1006"/>
      <c r="BL384" s="1006"/>
      <c r="BM384" s="396"/>
      <c r="BN384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384" s="396">
        <v>2</v>
      </c>
      <c r="BP384" s="396">
        <v>0</v>
      </c>
      <c r="BQ384" s="396">
        <v>-1</v>
      </c>
      <c r="BR384" s="396">
        <v>0</v>
      </c>
      <c r="BS384" s="396">
        <v>1</v>
      </c>
      <c r="BT384" s="396">
        <v>5</v>
      </c>
      <c r="BU384" s="997" t="s">
        <v>1576</v>
      </c>
      <c r="BV384" s="997" t="s">
        <v>1842</v>
      </c>
      <c r="BW384" s="396"/>
      <c r="BX384" s="396"/>
      <c r="BY384" s="396"/>
      <c r="BZ384" s="148"/>
    </row>
    <row r="385" spans="1:78" s="146" customFormat="1" ht="40.5" customHeight="1" x14ac:dyDescent="0.25">
      <c r="A385" s="333">
        <v>384</v>
      </c>
      <c r="B385" s="894" t="s">
        <v>1775</v>
      </c>
      <c r="C385" s="894" t="s">
        <v>2525</v>
      </c>
      <c r="D385" s="145" t="s">
        <v>1555</v>
      </c>
      <c r="E385" s="145" t="s">
        <v>1571</v>
      </c>
      <c r="F385" s="145"/>
      <c r="G385" s="145"/>
      <c r="H385" s="145"/>
      <c r="I385" s="640">
        <v>0.75</v>
      </c>
      <c r="J385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</v>
      </c>
      <c r="K385" s="627">
        <f>Таблица7[[#This Row],[Размер отряда минимум]]*1.25</f>
        <v>26.25</v>
      </c>
      <c r="L385" s="627">
        <f>Таблица7[[#This Row],[Размер отряда норма]]*1.5</f>
        <v>39.375</v>
      </c>
      <c r="M385" s="628">
        <f>Таблица7[[#This Row],[Размер отряда минимум]]*2.5</f>
        <v>52.5</v>
      </c>
      <c r="N385" s="628"/>
      <c r="O385" s="628"/>
      <c r="P385" s="628"/>
      <c r="Q385" s="628"/>
      <c r="R385" s="145" t="s">
        <v>1131</v>
      </c>
      <c r="S385" s="892" t="s">
        <v>2493</v>
      </c>
      <c r="T385" s="145" t="s">
        <v>975</v>
      </c>
      <c r="U385" s="893" t="s">
        <v>2526</v>
      </c>
      <c r="V385" s="895" t="s">
        <v>2527</v>
      </c>
      <c r="W385" s="145" t="s">
        <v>1001</v>
      </c>
      <c r="X385" s="145" t="s">
        <v>1692</v>
      </c>
      <c r="Y385" s="894" t="s">
        <v>1938</v>
      </c>
      <c r="Z385" s="145" t="s">
        <v>1036</v>
      </c>
      <c r="AA385" s="894" t="s">
        <v>1929</v>
      </c>
      <c r="AB385" s="145"/>
      <c r="AC385" s="145"/>
      <c r="AD385" s="191" t="s">
        <v>991</v>
      </c>
      <c r="AE385" s="893" t="s">
        <v>1951</v>
      </c>
      <c r="AF385" s="145" t="s">
        <v>1211</v>
      </c>
      <c r="AG385" s="145" t="s">
        <v>1963</v>
      </c>
      <c r="AH385" s="364" t="s">
        <v>1215</v>
      </c>
      <c r="AI385" s="364" t="s">
        <v>1977</v>
      </c>
      <c r="AJ385" s="191" t="s">
        <v>1481</v>
      </c>
      <c r="AK385" s="191" t="s">
        <v>1978</v>
      </c>
      <c r="AL385" s="209" t="s">
        <v>985</v>
      </c>
      <c r="AM385" s="145" t="s">
        <v>977</v>
      </c>
      <c r="AN385" s="146" t="s">
        <v>999</v>
      </c>
      <c r="AO385" s="894" t="s">
        <v>2032</v>
      </c>
      <c r="AP385" s="145" t="s">
        <v>2512</v>
      </c>
      <c r="AQ385" s="145" t="s">
        <v>2514</v>
      </c>
      <c r="AS385" s="145">
        <v>1500</v>
      </c>
      <c r="AT385" s="147">
        <v>1550</v>
      </c>
      <c r="AU385" s="405">
        <v>2</v>
      </c>
      <c r="AV385" s="405" t="s">
        <v>1827</v>
      </c>
      <c r="AW385" s="405">
        <f>VLOOKUP(Таблица7[[#This Row],[Основное оружие]], Оружие[#All], 2, 0)</f>
        <v>8</v>
      </c>
      <c r="AX385" s="405">
        <f>IF(ISBLANK(Таблица7[[#This Row],[Дополнительное оружие]]),"", VLOOKUP(Таблица7[[#This Row],[Дополнительное оружие]], Оружие[#All], 2, 0))</f>
        <v>5</v>
      </c>
      <c r="AY38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38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38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385" s="405">
        <f>VLOOKUP(Таблица7[[#This Row],[Основное оружие]], Оружие[#All], 3, 0)</f>
        <v>1</v>
      </c>
      <c r="BC385" s="405">
        <f>IF(ISBLANK(Таблица7[[#This Row],[Дополнительное оружие]]),"", VLOOKUP(Таблица7[[#This Row],[Дополнительное оружие]], Оружие[#All], 3, 0))</f>
        <v>3</v>
      </c>
      <c r="BD38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0)+1</f>
        <v>1</v>
      </c>
      <c r="BE38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13</v>
      </c>
      <c r="BF385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14</v>
      </c>
      <c r="BG385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17</v>
      </c>
      <c r="BH38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0</v>
      </c>
      <c r="BI38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5" s="405">
        <f>Таблица7[[#This Row],[Броня]]+Таблица7[[#This Row],[Щит]]+Таблица7[[#This Row],[навык защиты]]</f>
        <v>1</v>
      </c>
      <c r="BK385" s="1008" t="s">
        <v>1583</v>
      </c>
      <c r="BL385" s="1008"/>
      <c r="BM385" s="396"/>
      <c r="BN385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85" s="396">
        <v>2</v>
      </c>
      <c r="BP385" s="396">
        <v>-2</v>
      </c>
      <c r="BQ385" s="396">
        <v>0</v>
      </c>
      <c r="BR385" s="396">
        <v>-4</v>
      </c>
      <c r="BS385" s="396">
        <v>-2</v>
      </c>
      <c r="BT385" s="396">
        <v>6</v>
      </c>
      <c r="BU385" s="997" t="s">
        <v>1576</v>
      </c>
      <c r="BV385" s="997" t="s">
        <v>1843</v>
      </c>
      <c r="BW385" s="396"/>
      <c r="BX385" s="396"/>
      <c r="BY385" s="396"/>
      <c r="BZ385" s="148"/>
    </row>
    <row r="386" spans="1:78" s="146" customFormat="1" ht="40.5" customHeight="1" x14ac:dyDescent="0.25">
      <c r="A386" s="333">
        <v>385</v>
      </c>
      <c r="B386" s="894" t="s">
        <v>1776</v>
      </c>
      <c r="C386" s="894" t="s">
        <v>2528</v>
      </c>
      <c r="D386" s="145" t="s">
        <v>1556</v>
      </c>
      <c r="E386" s="145" t="s">
        <v>1570</v>
      </c>
      <c r="F386" s="145"/>
      <c r="G386" s="145"/>
      <c r="H386" s="145"/>
      <c r="I386" s="640">
        <v>0.6</v>
      </c>
      <c r="J386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54</v>
      </c>
      <c r="K386" s="627">
        <f>Таблица7[[#This Row],[Размер отряда минимум]]*1.25</f>
        <v>67.5</v>
      </c>
      <c r="L386" s="627">
        <f>Таблица7[[#This Row],[Размер отряда норма]]*1.5</f>
        <v>101.25</v>
      </c>
      <c r="M386" s="628">
        <f>Таблица7[[#This Row],[Размер отряда минимум]]*2.5</f>
        <v>135</v>
      </c>
      <c r="N386" s="628"/>
      <c r="O386" s="628"/>
      <c r="P386" s="628"/>
      <c r="Q386" s="628"/>
      <c r="R386" s="145" t="s">
        <v>1131</v>
      </c>
      <c r="S386" s="892" t="s">
        <v>2493</v>
      </c>
      <c r="T386" s="145" t="s">
        <v>975</v>
      </c>
      <c r="U386" s="893" t="s">
        <v>1777</v>
      </c>
      <c r="V386" s="904" t="s">
        <v>2529</v>
      </c>
      <c r="W386" s="145" t="s">
        <v>1001</v>
      </c>
      <c r="X386" s="145" t="s">
        <v>1469</v>
      </c>
      <c r="Y386" s="145" t="s">
        <v>2056</v>
      </c>
      <c r="Z386" s="145" t="s">
        <v>1036</v>
      </c>
      <c r="AA386" s="894" t="s">
        <v>1929</v>
      </c>
      <c r="AB386" s="145"/>
      <c r="AC386" s="145"/>
      <c r="AD386" s="191" t="s">
        <v>985</v>
      </c>
      <c r="AE386" s="191"/>
      <c r="AF386" s="145" t="s">
        <v>991</v>
      </c>
      <c r="AG386" s="894" t="s">
        <v>1951</v>
      </c>
      <c r="AH386" s="145" t="s">
        <v>985</v>
      </c>
      <c r="AI386" s="145"/>
      <c r="AJ386" s="191" t="s">
        <v>985</v>
      </c>
      <c r="AK386" s="191"/>
      <c r="AL386" s="209" t="s">
        <v>985</v>
      </c>
      <c r="AM386" s="145" t="s">
        <v>978</v>
      </c>
      <c r="AN386" s="894" t="s">
        <v>1906</v>
      </c>
      <c r="AO386" s="894" t="s">
        <v>1905</v>
      </c>
      <c r="AP386" s="145" t="s">
        <v>2512</v>
      </c>
      <c r="AQ386" s="145" t="s">
        <v>2514</v>
      </c>
      <c r="AR386" s="145"/>
      <c r="AS386" s="145">
        <v>1500</v>
      </c>
      <c r="AT386" s="147">
        <v>1550</v>
      </c>
      <c r="AU386" s="405">
        <v>2</v>
      </c>
      <c r="AV386" s="405" t="s">
        <v>1826</v>
      </c>
      <c r="AW386" s="405">
        <f>VLOOKUP(Таблица7[[#This Row],[Основное оружие]], Оружие[#All], 2, 0)</f>
        <v>0</v>
      </c>
      <c r="AX386" s="405">
        <f>IF(ISBLANK(Таблица7[[#This Row],[Дополнительное оружие]]),"", VLOOKUP(Таблица7[[#This Row],[Дополнительное оружие]], Оружие[#All], 2, 0))</f>
        <v>5</v>
      </c>
      <c r="AY38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8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8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86" s="405">
        <f>VLOOKUP(Таблица7[[#This Row],[Основное оружие]], Оружие[#All], 3, 0)</f>
        <v>1</v>
      </c>
      <c r="BC386" s="405">
        <f>IF(ISBLANK(Таблица7[[#This Row],[Дополнительное оружие]]),"", VLOOKUP(Таблица7[[#This Row],[Дополнительное оружие]], Оружие[#All], 3, 0))</f>
        <v>3</v>
      </c>
      <c r="BD38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8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8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8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8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6" s="405">
        <f>Таблица7[[#This Row],[Броня]]+Таблица7[[#This Row],[Щит]]+Таблица7[[#This Row],[навык защиты]]</f>
        <v>4</v>
      </c>
      <c r="BK386" s="1006"/>
      <c r="BL386" s="1006"/>
      <c r="BM386" s="396"/>
      <c r="BN386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86" s="396">
        <v>2</v>
      </c>
      <c r="BP386" s="396">
        <v>1</v>
      </c>
      <c r="BQ386" s="396">
        <v>-1</v>
      </c>
      <c r="BR386" s="396">
        <v>2</v>
      </c>
      <c r="BS386" s="396">
        <v>1</v>
      </c>
      <c r="BT386" s="396">
        <v>6</v>
      </c>
      <c r="BU386" s="997" t="s">
        <v>1576</v>
      </c>
      <c r="BV386" s="997" t="s">
        <v>1843</v>
      </c>
      <c r="BW386" s="396"/>
      <c r="BX386" s="396"/>
      <c r="BY386" s="396"/>
      <c r="BZ386" s="148"/>
    </row>
    <row r="387" spans="1:78" s="146" customFormat="1" ht="40.5" customHeight="1" x14ac:dyDescent="0.25">
      <c r="A387" s="333">
        <v>386</v>
      </c>
      <c r="B387" s="894" t="s">
        <v>2531</v>
      </c>
      <c r="C387" s="894" t="s">
        <v>2530</v>
      </c>
      <c r="D387" s="145" t="s">
        <v>1556</v>
      </c>
      <c r="E387" s="145" t="s">
        <v>1570</v>
      </c>
      <c r="F387" s="145"/>
      <c r="G387" s="145"/>
      <c r="H387" s="145"/>
      <c r="I387" s="640">
        <v>0.25</v>
      </c>
      <c r="J387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25</v>
      </c>
      <c r="K387" s="627">
        <f>Таблица7[[#This Row],[Размер отряда минимум]]*1.25</f>
        <v>31.25</v>
      </c>
      <c r="L387" s="627">
        <f>Таблица7[[#This Row],[Размер отряда норма]]*1.5</f>
        <v>46.875</v>
      </c>
      <c r="M387" s="628">
        <f>Таблица7[[#This Row],[Размер отряда минимум]]*2.5</f>
        <v>62.5</v>
      </c>
      <c r="N387" s="628"/>
      <c r="O387" s="628"/>
      <c r="P387" s="628"/>
      <c r="Q387" s="628"/>
      <c r="R387" s="145" t="s">
        <v>1131</v>
      </c>
      <c r="S387" s="892" t="s">
        <v>2493</v>
      </c>
      <c r="T387" s="145" t="s">
        <v>976</v>
      </c>
      <c r="U387" s="893" t="s">
        <v>1778</v>
      </c>
      <c r="V387" s="895" t="s">
        <v>2532</v>
      </c>
      <c r="W387" s="145" t="s">
        <v>1001</v>
      </c>
      <c r="X387" s="145" t="s">
        <v>1471</v>
      </c>
      <c r="Y387" s="894" t="s">
        <v>1944</v>
      </c>
      <c r="Z387" s="145" t="s">
        <v>1440</v>
      </c>
      <c r="AA387" s="894" t="s">
        <v>2020</v>
      </c>
      <c r="AB387" s="145"/>
      <c r="AC387" s="145"/>
      <c r="AD387" s="191" t="s">
        <v>985</v>
      </c>
      <c r="AE387" s="191"/>
      <c r="AF387" s="145" t="s">
        <v>991</v>
      </c>
      <c r="AG387" s="894" t="s">
        <v>1951</v>
      </c>
      <c r="AH387" s="145" t="s">
        <v>985</v>
      </c>
      <c r="AI387" s="145"/>
      <c r="AJ387" s="191" t="s">
        <v>985</v>
      </c>
      <c r="AK387" s="191"/>
      <c r="AL387" s="209" t="s">
        <v>985</v>
      </c>
      <c r="AM387" s="145" t="s">
        <v>977</v>
      </c>
      <c r="AN387" s="894" t="s">
        <v>2382</v>
      </c>
      <c r="AO387" s="903" t="s">
        <v>2062</v>
      </c>
      <c r="AP387" s="145" t="s">
        <v>2512</v>
      </c>
      <c r="AQ387" s="145" t="s">
        <v>2514</v>
      </c>
      <c r="AS387" s="146">
        <v>1570</v>
      </c>
      <c r="AT387" s="149"/>
      <c r="AU387" s="405">
        <v>2</v>
      </c>
      <c r="AV387" s="405" t="s">
        <v>1827</v>
      </c>
      <c r="AW387" s="405">
        <f>VLOOKUP(Таблица7[[#This Row],[Основное оружие]], Оружие[#All], 2, 0)</f>
        <v>0</v>
      </c>
      <c r="AX387" s="405">
        <f>IF(ISBLANK(Таблица7[[#This Row],[Дополнительное оружие]]),"", VLOOKUP(Таблица7[[#This Row],[Дополнительное оружие]], Оружие[#All], 2, 0))</f>
        <v>4</v>
      </c>
      <c r="AY38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8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8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387" s="405">
        <f>VLOOKUP(Таблица7[[#This Row],[Основное оружие]], Оружие[#All], 3, 0)</f>
        <v>1</v>
      </c>
      <c r="BC387" s="405">
        <f>IF(ISBLANK(Таблица7[[#This Row],[Дополнительное оружие]]),"", VLOOKUP(Таблица7[[#This Row],[Дополнительное оружие]], Оружие[#All], 3, 0))</f>
        <v>3</v>
      </c>
      <c r="BD38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8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8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8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8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7" s="405">
        <f>Таблица7[[#This Row],[Броня]]+Таблица7[[#This Row],[Щит]]+Таблица7[[#This Row],[навык защиты]]</f>
        <v>4</v>
      </c>
      <c r="BK387" s="1006"/>
      <c r="BL387" s="1006"/>
      <c r="BM387" s="396"/>
      <c r="BN387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87" s="396">
        <v>2</v>
      </c>
      <c r="BP387" s="396">
        <v>1</v>
      </c>
      <c r="BQ387" s="396">
        <v>-1</v>
      </c>
      <c r="BR387" s="396">
        <v>2</v>
      </c>
      <c r="BS387" s="396">
        <v>1</v>
      </c>
      <c r="BT387" s="396">
        <v>6</v>
      </c>
      <c r="BU387" s="997" t="s">
        <v>1576</v>
      </c>
      <c r="BV387" s="997" t="s">
        <v>1843</v>
      </c>
      <c r="BW387" s="396"/>
      <c r="BX387" s="396"/>
      <c r="BY387" s="396"/>
      <c r="BZ387" s="148"/>
    </row>
    <row r="388" spans="1:78" s="146" customFormat="1" ht="40.5" customHeight="1" x14ac:dyDescent="0.25">
      <c r="A388" s="333">
        <v>387</v>
      </c>
      <c r="B388" s="678" t="s">
        <v>1779</v>
      </c>
      <c r="C388" s="894" t="s">
        <v>2533</v>
      </c>
      <c r="D388" s="145" t="s">
        <v>1556</v>
      </c>
      <c r="E388" s="145" t="s">
        <v>1570</v>
      </c>
      <c r="F388" s="145"/>
      <c r="G388" s="145"/>
      <c r="H388" s="145"/>
      <c r="I388" s="640">
        <v>0.6</v>
      </c>
      <c r="J388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54</v>
      </c>
      <c r="K388" s="627">
        <f>Таблица7[[#This Row],[Размер отряда минимум]]*1.25</f>
        <v>67.5</v>
      </c>
      <c r="L388" s="627">
        <f>Таблица7[[#This Row],[Размер отряда норма]]*1.5</f>
        <v>101.25</v>
      </c>
      <c r="M388" s="628">
        <f>Таблица7[[#This Row],[Размер отряда минимум]]*2.5</f>
        <v>135</v>
      </c>
      <c r="N388" s="628"/>
      <c r="O388" s="628"/>
      <c r="P388" s="628"/>
      <c r="Q388" s="628"/>
      <c r="R388" s="145" t="s">
        <v>1131</v>
      </c>
      <c r="S388" s="892" t="s">
        <v>2493</v>
      </c>
      <c r="T388" s="145" t="s">
        <v>975</v>
      </c>
      <c r="U388" s="893" t="s">
        <v>1780</v>
      </c>
      <c r="V388" s="895" t="s">
        <v>2534</v>
      </c>
      <c r="W388" s="145" t="s">
        <v>1001</v>
      </c>
      <c r="X388" s="145" t="s">
        <v>1694</v>
      </c>
      <c r="Y388" s="145" t="s">
        <v>1939</v>
      </c>
      <c r="Z388" s="145" t="s">
        <v>1036</v>
      </c>
      <c r="AA388" s="894" t="s">
        <v>1929</v>
      </c>
      <c r="AB388" s="145" t="s">
        <v>1453</v>
      </c>
      <c r="AC388" s="145" t="s">
        <v>1919</v>
      </c>
      <c r="AD388" s="191" t="s">
        <v>985</v>
      </c>
      <c r="AE388" s="191"/>
      <c r="AF388" s="145" t="s">
        <v>991</v>
      </c>
      <c r="AG388" s="894" t="s">
        <v>1951</v>
      </c>
      <c r="AH388" s="145" t="s">
        <v>985</v>
      </c>
      <c r="AI388" s="145"/>
      <c r="AJ388" s="191" t="s">
        <v>985</v>
      </c>
      <c r="AK388" s="191"/>
      <c r="AL388" s="209" t="s">
        <v>985</v>
      </c>
      <c r="AM388" s="145" t="s">
        <v>978</v>
      </c>
      <c r="AN388" s="894" t="s">
        <v>2536</v>
      </c>
      <c r="AO388" s="894" t="s">
        <v>2535</v>
      </c>
      <c r="AP388" s="145" t="s">
        <v>2512</v>
      </c>
      <c r="AQ388" s="145" t="s">
        <v>2514</v>
      </c>
      <c r="AS388" s="145">
        <v>1500</v>
      </c>
      <c r="AT388" s="147">
        <v>1550</v>
      </c>
      <c r="AU388" s="405">
        <v>2</v>
      </c>
      <c r="AV388" s="405" t="s">
        <v>1826</v>
      </c>
      <c r="AW388" s="405">
        <f>VLOOKUP(Таблица7[[#This Row],[Основное оружие]], Оружие[#All], 2, 0)</f>
        <v>0</v>
      </c>
      <c r="AX388" s="405">
        <f>IF(ISBLANK(Таблица7[[#This Row],[Дополнительное оружие]]),"", VLOOKUP(Таблица7[[#This Row],[Дополнительное оружие]], Оружие[#All], 2, 0))</f>
        <v>5</v>
      </c>
      <c r="AY38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8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8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88" s="405">
        <f>VLOOKUP(Таблица7[[#This Row],[Основное оружие]], Оружие[#All], 3, 0)</f>
        <v>1</v>
      </c>
      <c r="BC388" s="405">
        <f>IF(ISBLANK(Таблица7[[#This Row],[Дополнительное оружие]]),"", VLOOKUP(Таблица7[[#This Row],[Дополнительное оружие]], Оружие[#All], 3, 0))</f>
        <v>3</v>
      </c>
      <c r="BD38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8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8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8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8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9</v>
      </c>
      <c r="BJ388" s="405">
        <f>Таблица7[[#This Row],[Броня]]+Таблица7[[#This Row],[Щит]]+Таблица7[[#This Row],[навык защиты]]</f>
        <v>13</v>
      </c>
      <c r="BK388" s="1006"/>
      <c r="BL388" s="1006"/>
      <c r="BM388" s="396"/>
      <c r="BN388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88" s="396">
        <v>2</v>
      </c>
      <c r="BP388" s="396">
        <v>1</v>
      </c>
      <c r="BQ388" s="396">
        <v>-1</v>
      </c>
      <c r="BR388" s="396">
        <v>2</v>
      </c>
      <c r="BS388" s="396">
        <v>1</v>
      </c>
      <c r="BT388" s="396">
        <v>4</v>
      </c>
      <c r="BU388" s="997" t="s">
        <v>1576</v>
      </c>
      <c r="BV388" s="997" t="s">
        <v>1842</v>
      </c>
      <c r="BW388" s="396"/>
      <c r="BX388" s="396"/>
      <c r="BY388" s="396"/>
      <c r="BZ388" s="148"/>
    </row>
    <row r="389" spans="1:78" s="146" customFormat="1" ht="40.5" customHeight="1" x14ac:dyDescent="0.25">
      <c r="A389" s="333">
        <v>388</v>
      </c>
      <c r="B389" s="894" t="s">
        <v>1781</v>
      </c>
      <c r="C389" s="894" t="s">
        <v>2537</v>
      </c>
      <c r="D389" s="145" t="s">
        <v>1555</v>
      </c>
      <c r="E389" s="145" t="s">
        <v>1547</v>
      </c>
      <c r="F389" s="145"/>
      <c r="G389" s="145"/>
      <c r="H389" s="145"/>
      <c r="I389" s="640">
        <v>0.5</v>
      </c>
      <c r="J389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389" s="627">
        <f>Таблица7[[#This Row],[Размер отряда минимум]]*1.25</f>
        <v>12.5</v>
      </c>
      <c r="L389" s="627">
        <f>Таблица7[[#This Row],[Размер отряда норма]]*1.5</f>
        <v>18.75</v>
      </c>
      <c r="M389" s="628">
        <f>Таблица7[[#This Row],[Размер отряда минимум]]*2.5</f>
        <v>25</v>
      </c>
      <c r="N389" s="628"/>
      <c r="O389" s="628"/>
      <c r="P389" s="628"/>
      <c r="Q389" s="628"/>
      <c r="R389" s="145" t="s">
        <v>1131</v>
      </c>
      <c r="S389" s="892" t="s">
        <v>2493</v>
      </c>
      <c r="T389" s="145" t="s">
        <v>975</v>
      </c>
      <c r="U389" s="893" t="s">
        <v>1782</v>
      </c>
      <c r="V389" s="895" t="s">
        <v>2538</v>
      </c>
      <c r="W389" s="145" t="s">
        <v>1001</v>
      </c>
      <c r="X389" s="145" t="s">
        <v>2105</v>
      </c>
      <c r="Y389" s="145" t="s">
        <v>2024</v>
      </c>
      <c r="Z389" s="145" t="s">
        <v>1036</v>
      </c>
      <c r="AA389" s="145" t="s">
        <v>1929</v>
      </c>
      <c r="AB389" s="145"/>
      <c r="AC389" s="145"/>
      <c r="AD389" s="191" t="s">
        <v>1004</v>
      </c>
      <c r="AE389" s="893" t="s">
        <v>1952</v>
      </c>
      <c r="AF389" s="145" t="s">
        <v>985</v>
      </c>
      <c r="AG389" s="145"/>
      <c r="AH389" s="145" t="s">
        <v>985</v>
      </c>
      <c r="AI389" s="145"/>
      <c r="AJ389" s="191" t="s">
        <v>985</v>
      </c>
      <c r="AK389" s="191"/>
      <c r="AL389" s="209" t="s">
        <v>1163</v>
      </c>
      <c r="AM389" s="145" t="s">
        <v>935</v>
      </c>
      <c r="AN389" s="145" t="s">
        <v>952</v>
      </c>
      <c r="AO389" s="894" t="s">
        <v>1871</v>
      </c>
      <c r="AP389" s="894" t="s">
        <v>952</v>
      </c>
      <c r="AQ389" s="894" t="s">
        <v>1871</v>
      </c>
      <c r="AR389" s="145"/>
      <c r="AS389" s="145">
        <v>1500</v>
      </c>
      <c r="AT389" s="147">
        <v>1565</v>
      </c>
      <c r="AU389" s="405">
        <v>10</v>
      </c>
      <c r="AV389" s="405"/>
      <c r="AW389" s="405">
        <f>VLOOKUP(Таблица7[[#This Row],[Основное оружие]], Оружие[#All], 2, 0)</f>
        <v>2</v>
      </c>
      <c r="AX389" s="405">
        <f>IF(ISBLANK(Таблица7[[#This Row],[Дополнительное оружие]]),"", VLOOKUP(Таблица7[[#This Row],[Дополнительное оружие]], Оружие[#All], 2, 0))</f>
        <v>5</v>
      </c>
      <c r="AY38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8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8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389" s="405">
        <f>VLOOKUP(Таблица7[[#This Row],[Основное оружие]], Оружие[#All], 3, 0)</f>
        <v>10</v>
      </c>
      <c r="BC389" s="405">
        <f>IF(ISBLANK(Таблица7[[#This Row],[Дополнительное оружие]]),"", VLOOKUP(Таблица7[[#This Row],[Дополнительное оружие]], Оружие[#All], 3, 0))</f>
        <v>3</v>
      </c>
      <c r="BD38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38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8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8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8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8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89" s="405">
        <f>Таблица7[[#This Row],[Броня]]+Таблица7[[#This Row],[Щит]]+Таблица7[[#This Row],[навык защиты]]</f>
        <v>29</v>
      </c>
      <c r="BK389" s="1006"/>
      <c r="BL389" s="1006"/>
      <c r="BM389" s="396"/>
      <c r="BN389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89" s="396">
        <v>2</v>
      </c>
      <c r="BP389" s="396">
        <v>-2</v>
      </c>
      <c r="BQ389" s="396">
        <v>0</v>
      </c>
      <c r="BR389" s="396">
        <v>-4</v>
      </c>
      <c r="BS389" s="396">
        <v>-2</v>
      </c>
      <c r="BT389" s="396">
        <v>11</v>
      </c>
      <c r="BU389" s="997" t="s">
        <v>1840</v>
      </c>
      <c r="BV389" s="997" t="s">
        <v>1844</v>
      </c>
      <c r="BW389" s="396"/>
      <c r="BX389" s="396"/>
      <c r="BY389" s="396"/>
      <c r="BZ389" s="148"/>
    </row>
    <row r="390" spans="1:78" s="146" customFormat="1" ht="40.5" customHeight="1" x14ac:dyDescent="0.25">
      <c r="A390" s="333">
        <v>389</v>
      </c>
      <c r="B390" s="678" t="s">
        <v>1781</v>
      </c>
      <c r="C390" s="894" t="s">
        <v>2537</v>
      </c>
      <c r="D390" s="145" t="s">
        <v>1555</v>
      </c>
      <c r="E390" s="145" t="s">
        <v>1547</v>
      </c>
      <c r="F390" s="145"/>
      <c r="G390" s="145"/>
      <c r="H390" s="145"/>
      <c r="I390" s="640">
        <v>0.5</v>
      </c>
      <c r="J390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390" s="627">
        <f>Таблица7[[#This Row],[Размер отряда минимум]]*1.25</f>
        <v>15</v>
      </c>
      <c r="L390" s="627">
        <f>Таблица7[[#This Row],[Размер отряда норма]]*1.5</f>
        <v>22.5</v>
      </c>
      <c r="M390" s="628">
        <f>Таблица7[[#This Row],[Размер отряда минимум]]*2.5</f>
        <v>30</v>
      </c>
      <c r="N390" s="628"/>
      <c r="O390" s="628"/>
      <c r="P390" s="628"/>
      <c r="Q390" s="628"/>
      <c r="R390" s="145" t="s">
        <v>1131</v>
      </c>
      <c r="S390" s="892" t="s">
        <v>2493</v>
      </c>
      <c r="T390" s="145" t="s">
        <v>976</v>
      </c>
      <c r="U390" s="753" t="s">
        <v>1782</v>
      </c>
      <c r="V390" s="895" t="s">
        <v>2539</v>
      </c>
      <c r="W390" s="145" t="s">
        <v>1001</v>
      </c>
      <c r="X390" s="145" t="s">
        <v>1950</v>
      </c>
      <c r="Y390" s="145" t="s">
        <v>1949</v>
      </c>
      <c r="Z390" s="145" t="s">
        <v>1440</v>
      </c>
      <c r="AA390" s="145" t="s">
        <v>2020</v>
      </c>
      <c r="AB390" s="145"/>
      <c r="AC390" s="145"/>
      <c r="AD390" s="191" t="s">
        <v>1005</v>
      </c>
      <c r="AE390" s="191" t="s">
        <v>2031</v>
      </c>
      <c r="AF390" s="145" t="s">
        <v>985</v>
      </c>
      <c r="AG390" s="145"/>
      <c r="AH390" s="145" t="s">
        <v>985</v>
      </c>
      <c r="AI390" s="145"/>
      <c r="AJ390" s="191" t="s">
        <v>985</v>
      </c>
      <c r="AK390" s="191"/>
      <c r="AL390" s="209" t="s">
        <v>985</v>
      </c>
      <c r="AM390" s="145" t="s">
        <v>935</v>
      </c>
      <c r="AN390" s="145" t="s">
        <v>952</v>
      </c>
      <c r="AO390" s="894" t="s">
        <v>1871</v>
      </c>
      <c r="AP390" s="894" t="s">
        <v>952</v>
      </c>
      <c r="AQ390" s="894" t="s">
        <v>1871</v>
      </c>
      <c r="AR390" s="145"/>
      <c r="AS390" s="145">
        <v>1565</v>
      </c>
      <c r="AT390" s="147"/>
      <c r="AU390" s="405">
        <v>10</v>
      </c>
      <c r="AV390" s="405" t="s">
        <v>1828</v>
      </c>
      <c r="AW390" s="405">
        <f>VLOOKUP(Таблица7[[#This Row],[Основное оружие]], Оружие[#All], 2, 0)</f>
        <v>0</v>
      </c>
      <c r="AX390" s="405">
        <f>IF(ISBLANK(Таблица7[[#This Row],[Дополнительное оружие]]),"", VLOOKUP(Таблица7[[#This Row],[Дополнительное оружие]], Оружие[#All], 2, 0))</f>
        <v>4</v>
      </c>
      <c r="AY39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39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9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390" s="405">
        <f>VLOOKUP(Таблица7[[#This Row],[Основное оружие]], Оружие[#All], 3, 0)</f>
        <v>1</v>
      </c>
      <c r="BC390" s="405">
        <f>IF(ISBLANK(Таблица7[[#This Row],[Дополнительное оружие]]),"", VLOOKUP(Таблица7[[#This Row],[Дополнительное оружие]], Оружие[#All], 3, 0))</f>
        <v>3</v>
      </c>
      <c r="BD39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39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9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9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39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0" s="405">
        <f>Таблица7[[#This Row],[Броня]]+Таблица7[[#This Row],[Щит]]+Таблица7[[#This Row],[навык защиты]]</f>
        <v>28</v>
      </c>
      <c r="BK390" s="1006"/>
      <c r="BL390" s="1006"/>
      <c r="BM390" s="396"/>
      <c r="BN390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90" s="396">
        <v>2</v>
      </c>
      <c r="BP390" s="396">
        <v>-2</v>
      </c>
      <c r="BQ390" s="396">
        <v>0</v>
      </c>
      <c r="BR390" s="396">
        <v>-4</v>
      </c>
      <c r="BS390" s="396">
        <v>-2</v>
      </c>
      <c r="BT390" s="396">
        <v>11</v>
      </c>
      <c r="BU390" s="997" t="s">
        <v>1840</v>
      </c>
      <c r="BV390" s="997" t="s">
        <v>1844</v>
      </c>
      <c r="BW390" s="396"/>
      <c r="BX390" s="396"/>
      <c r="BY390" s="396"/>
      <c r="BZ390" s="148"/>
    </row>
    <row r="391" spans="1:78" s="146" customFormat="1" ht="40.5" customHeight="1" x14ac:dyDescent="0.25">
      <c r="A391" s="333">
        <v>390</v>
      </c>
      <c r="B391" s="678" t="s">
        <v>1783</v>
      </c>
      <c r="C391" s="894" t="s">
        <v>2540</v>
      </c>
      <c r="D391" s="145" t="s">
        <v>1556</v>
      </c>
      <c r="E391" s="145" t="s">
        <v>1562</v>
      </c>
      <c r="F391" s="145"/>
      <c r="G391" s="145"/>
      <c r="H391" s="145"/>
      <c r="I391" s="640">
        <v>0.9</v>
      </c>
      <c r="J391" s="627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72</v>
      </c>
      <c r="K391" s="627">
        <f>Таблица7[[#This Row],[Размер отряда минимум]]*1.25</f>
        <v>90</v>
      </c>
      <c r="L391" s="627">
        <f>Таблица7[[#This Row],[Размер отряда норма]]*1.5</f>
        <v>135</v>
      </c>
      <c r="M391" s="628">
        <f>Таблица7[[#This Row],[Размер отряда минимум]]*2.5</f>
        <v>180</v>
      </c>
      <c r="N391" s="628"/>
      <c r="O391" s="628"/>
      <c r="P391" s="628"/>
      <c r="Q391" s="628"/>
      <c r="R391" s="145" t="s">
        <v>1131</v>
      </c>
      <c r="S391" s="892" t="s">
        <v>2493</v>
      </c>
      <c r="T391" s="145" t="s">
        <v>975</v>
      </c>
      <c r="U391" s="893" t="s">
        <v>1784</v>
      </c>
      <c r="V391" s="895" t="s">
        <v>2542</v>
      </c>
      <c r="W391" s="145" t="s">
        <v>1001</v>
      </c>
      <c r="X391" s="145" t="s">
        <v>1513</v>
      </c>
      <c r="Y391" s="894" t="s">
        <v>2541</v>
      </c>
      <c r="Z391" s="145"/>
      <c r="AA391" s="145"/>
      <c r="AB391" s="145"/>
      <c r="AC391" s="145"/>
      <c r="AD391" s="191" t="s">
        <v>1002</v>
      </c>
      <c r="AE391" s="893" t="s">
        <v>2025</v>
      </c>
      <c r="AF391" s="145" t="s">
        <v>985</v>
      </c>
      <c r="AG391" s="145"/>
      <c r="AH391" s="145" t="s">
        <v>985</v>
      </c>
      <c r="AI391" s="145"/>
      <c r="AJ391" s="145" t="s">
        <v>1004</v>
      </c>
      <c r="AK391" s="894" t="s">
        <v>1952</v>
      </c>
      <c r="AL391" s="209" t="s">
        <v>985</v>
      </c>
      <c r="AM391" s="934" t="s">
        <v>935</v>
      </c>
      <c r="AN391" s="894" t="s">
        <v>2536</v>
      </c>
      <c r="AO391" s="894" t="s">
        <v>2535</v>
      </c>
      <c r="AP391" s="894" t="s">
        <v>2513</v>
      </c>
      <c r="AQ391" s="894" t="s">
        <v>2515</v>
      </c>
      <c r="AR391" s="145"/>
      <c r="AS391" s="145">
        <v>1500</v>
      </c>
      <c r="AT391" s="147">
        <v>1550</v>
      </c>
      <c r="AU391" s="405">
        <v>9</v>
      </c>
      <c r="AV391" s="405"/>
      <c r="AW391" s="405">
        <f>VLOOKUP(Таблица7[[#This Row],[Основное оружие]], Оружие[#All], 2, 0)</f>
        <v>3</v>
      </c>
      <c r="AX391" s="405" t="str">
        <f>IF(ISBLANK(Таблица7[[#This Row],[Дополнительное оружие]]),"", VLOOKUP(Таблица7[[#This Row],[Дополнительное оружие]], Оружие[#All], 2, 0))</f>
        <v/>
      </c>
      <c r="AY39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39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39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91" s="405">
        <f>VLOOKUP(Таблица7[[#This Row],[Основное оружие]], Оружие[#All], 3, 0)</f>
        <v>3</v>
      </c>
      <c r="BC391" s="405" t="str">
        <f>IF(ISBLANK(Таблица7[[#This Row],[Дополнительное оружие]]),"", VLOOKUP(Таблица7[[#This Row],[Дополнительное оружие]], Оружие[#All], 3, 0))</f>
        <v/>
      </c>
      <c r="BD39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39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9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39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9</v>
      </c>
      <c r="BI39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1" s="405">
        <f>Таблица7[[#This Row],[Броня]]+Таблица7[[#This Row],[Щит]]+Таблица7[[#This Row],[навык защиты]]</f>
        <v>29</v>
      </c>
      <c r="BK391" s="1006"/>
      <c r="BL391" s="1008" t="s">
        <v>1585</v>
      </c>
      <c r="BM391" s="396"/>
      <c r="BN391" s="997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91" s="396">
        <v>2</v>
      </c>
      <c r="BP391" s="396">
        <v>0</v>
      </c>
      <c r="BQ391" s="396">
        <v>-1</v>
      </c>
      <c r="BR391" s="396">
        <v>-1</v>
      </c>
      <c r="BS391" s="396">
        <v>1</v>
      </c>
      <c r="BT391" s="695" t="s">
        <v>1832</v>
      </c>
      <c r="BU391" s="997" t="s">
        <v>1840</v>
      </c>
      <c r="BV391" s="997" t="s">
        <v>1844</v>
      </c>
      <c r="BW391" s="396"/>
      <c r="BX391" s="396"/>
      <c r="BY391" s="396"/>
      <c r="BZ391" s="148"/>
    </row>
    <row r="392" spans="1:78" s="62" customFormat="1" ht="40.5" customHeight="1" x14ac:dyDescent="0.25">
      <c r="A392" s="333">
        <v>391</v>
      </c>
      <c r="B392" s="680" t="s">
        <v>1785</v>
      </c>
      <c r="C392" s="900" t="s">
        <v>2545</v>
      </c>
      <c r="D392" s="532" t="s">
        <v>1556</v>
      </c>
      <c r="E392" s="62" t="s">
        <v>1546</v>
      </c>
      <c r="I392" s="647">
        <v>0.75</v>
      </c>
      <c r="J392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92" s="593">
        <f>Таблица7[[#This Row],[Размер отряда минимум]]*1.25</f>
        <v>93.75</v>
      </c>
      <c r="L392" s="593">
        <f>Таблица7[[#This Row],[Размер отряда норма]]*1.5</f>
        <v>140.625</v>
      </c>
      <c r="M392" s="594">
        <f>Таблица7[[#This Row],[Размер отряда минимум]]*2.5</f>
        <v>187.5</v>
      </c>
      <c r="N392" s="594"/>
      <c r="O392" s="594"/>
      <c r="P392" s="594"/>
      <c r="Q392" s="594"/>
      <c r="R392" s="533" t="s">
        <v>1648</v>
      </c>
      <c r="S392" s="567" t="s">
        <v>2544</v>
      </c>
      <c r="T392" s="532" t="s">
        <v>1032</v>
      </c>
      <c r="U392" s="901" t="s">
        <v>1786</v>
      </c>
      <c r="V392" s="902" t="s">
        <v>2546</v>
      </c>
      <c r="W392" s="532" t="s">
        <v>984</v>
      </c>
      <c r="X392" s="532" t="s">
        <v>1441</v>
      </c>
      <c r="Y392" s="900" t="s">
        <v>1934</v>
      </c>
      <c r="AD392" s="534" t="s">
        <v>985</v>
      </c>
      <c r="AE392" s="534"/>
      <c r="AF392" s="533" t="s">
        <v>985</v>
      </c>
      <c r="AG392" s="533"/>
      <c r="AH392" s="533" t="s">
        <v>985</v>
      </c>
      <c r="AI392" s="533"/>
      <c r="AJ392" s="534" t="s">
        <v>985</v>
      </c>
      <c r="AK392" s="534"/>
      <c r="AL392" s="535" t="s">
        <v>985</v>
      </c>
      <c r="AM392" s="533" t="s">
        <v>935</v>
      </c>
      <c r="AN392" s="900" t="s">
        <v>992</v>
      </c>
      <c r="AO392" s="533" t="s">
        <v>1904</v>
      </c>
      <c r="AP392" s="900" t="s">
        <v>2548</v>
      </c>
      <c r="AQ392" s="900" t="s">
        <v>2547</v>
      </c>
      <c r="AS392" s="62">
        <v>1500</v>
      </c>
      <c r="AT392" s="63"/>
      <c r="AU392" s="405">
        <v>4</v>
      </c>
      <c r="AV392" s="405"/>
      <c r="AW392" s="405">
        <f>VLOOKUP(Таблица7[[#This Row],[Основное оружие]], Оружие[#All], 2, 0)</f>
        <v>4</v>
      </c>
      <c r="AX392" s="405" t="str">
        <f>IF(ISBLANK(Таблица7[[#This Row],[Дополнительное оружие]]),"", VLOOKUP(Таблица7[[#This Row],[Дополнительное оружие]], Оружие[#All], 2, 0))</f>
        <v/>
      </c>
      <c r="AY39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39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39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392" s="405">
        <f>VLOOKUP(Таблица7[[#This Row],[Основное оружие]], Оружие[#All], 3, 0)</f>
        <v>3</v>
      </c>
      <c r="BC392" s="405" t="str">
        <f>IF(ISBLANK(Таблица7[[#This Row],[Дополнительное оружие]]),"", VLOOKUP(Таблица7[[#This Row],[Дополнительное оружие]], Оружие[#All], 3, 0))</f>
        <v/>
      </c>
      <c r="BD39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9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9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9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39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2" s="405">
        <f>Таблица7[[#This Row],[Броня]]+Таблица7[[#This Row],[Щит]]+Таблица7[[#This Row],[навык защиты]]</f>
        <v>6</v>
      </c>
      <c r="BK392" s="1006"/>
      <c r="BL392" s="1006"/>
      <c r="BM392" s="379"/>
      <c r="BN392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92" s="379">
        <v>2</v>
      </c>
      <c r="BP392" s="379">
        <v>1</v>
      </c>
      <c r="BQ392" s="379">
        <v>-1</v>
      </c>
      <c r="BR392" s="379">
        <v>2</v>
      </c>
      <c r="BS392" s="379">
        <v>1</v>
      </c>
      <c r="BT392" s="379">
        <v>7</v>
      </c>
      <c r="BU392" s="975" t="s">
        <v>1576</v>
      </c>
      <c r="BV392" s="975" t="s">
        <v>1842</v>
      </c>
      <c r="BW392" s="379"/>
      <c r="BX392" s="379"/>
      <c r="BY392" s="379"/>
      <c r="BZ392" s="64"/>
    </row>
    <row r="393" spans="1:78" s="62" customFormat="1" ht="40.5" customHeight="1" x14ac:dyDescent="0.25">
      <c r="A393" s="333">
        <v>392</v>
      </c>
      <c r="B393" s="680" t="s">
        <v>1787</v>
      </c>
      <c r="C393" s="900" t="s">
        <v>2549</v>
      </c>
      <c r="D393" s="62" t="s">
        <v>1556</v>
      </c>
      <c r="E393" s="62" t="s">
        <v>1570</v>
      </c>
      <c r="I393" s="647">
        <v>0.75</v>
      </c>
      <c r="J393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393" s="593">
        <f>Таблица7[[#This Row],[Размер отряда минимум]]*1.25</f>
        <v>84.375</v>
      </c>
      <c r="L393" s="593">
        <f>Таблица7[[#This Row],[Размер отряда норма]]*1.5</f>
        <v>126.5625</v>
      </c>
      <c r="M393" s="594">
        <f>Таблица7[[#This Row],[Размер отряда минимум]]*2.5</f>
        <v>168.75</v>
      </c>
      <c r="N393" s="594"/>
      <c r="O393" s="594"/>
      <c r="P393" s="594"/>
      <c r="Q393" s="594"/>
      <c r="R393" s="62" t="s">
        <v>29</v>
      </c>
      <c r="S393" s="900" t="s">
        <v>2543</v>
      </c>
      <c r="T393" s="533" t="s">
        <v>975</v>
      </c>
      <c r="U393" s="901" t="s">
        <v>1788</v>
      </c>
      <c r="V393" s="902" t="s">
        <v>2550</v>
      </c>
      <c r="W393" s="533" t="s">
        <v>984</v>
      </c>
      <c r="X393" s="533" t="s">
        <v>1469</v>
      </c>
      <c r="Y393" s="533" t="s">
        <v>2056</v>
      </c>
      <c r="Z393" s="533" t="s">
        <v>1435</v>
      </c>
      <c r="AA393" s="900" t="s">
        <v>1930</v>
      </c>
      <c r="AD393" s="534" t="s">
        <v>985</v>
      </c>
      <c r="AE393" s="534"/>
      <c r="AF393" s="533" t="s">
        <v>985</v>
      </c>
      <c r="AG393" s="533"/>
      <c r="AH393" s="533" t="s">
        <v>985</v>
      </c>
      <c r="AI393" s="533"/>
      <c r="AJ393" s="534" t="s">
        <v>985</v>
      </c>
      <c r="AK393" s="534"/>
      <c r="AL393" s="535" t="s">
        <v>985</v>
      </c>
      <c r="AM393" s="533" t="s">
        <v>978</v>
      </c>
      <c r="AN393" s="900" t="s">
        <v>2381</v>
      </c>
      <c r="AO393" s="900" t="s">
        <v>2057</v>
      </c>
      <c r="AP393" s="533" t="s">
        <v>1650</v>
      </c>
      <c r="AQ393" s="900" t="s">
        <v>2552</v>
      </c>
      <c r="AS393" s="62">
        <v>1500</v>
      </c>
      <c r="AT393" s="63">
        <v>1550</v>
      </c>
      <c r="AU393" s="405">
        <v>2</v>
      </c>
      <c r="AV393" s="405" t="s">
        <v>1828</v>
      </c>
      <c r="AW393" s="405">
        <f>VLOOKUP(Таблица7[[#This Row],[Основное оружие]], Оружие[#All], 2, 0)</f>
        <v>0</v>
      </c>
      <c r="AX393" s="405">
        <f>IF(ISBLANK(Таблица7[[#This Row],[Дополнительное оружие]]),"", VLOOKUP(Таблица7[[#This Row],[Дополнительное оружие]], Оружие[#All], 2, 0))</f>
        <v>1</v>
      </c>
      <c r="AY39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9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9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5</v>
      </c>
      <c r="BB393" s="405">
        <f>VLOOKUP(Таблица7[[#This Row],[Основное оружие]], Оружие[#All], 3, 0)</f>
        <v>1</v>
      </c>
      <c r="BC393" s="405">
        <f>IF(ISBLANK(Таблица7[[#This Row],[Дополнительное оружие]]),"", VLOOKUP(Таблица7[[#This Row],[Дополнительное оружие]], Оружие[#All], 3, 0))</f>
        <v>1</v>
      </c>
      <c r="BD39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9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9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9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9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3" s="405">
        <f>Таблица7[[#This Row],[Броня]]+Таблица7[[#This Row],[Щит]]+Таблица7[[#This Row],[навык защиты]]</f>
        <v>4</v>
      </c>
      <c r="BK393" s="1006"/>
      <c r="BL393" s="1006"/>
      <c r="BM393" s="379"/>
      <c r="BN393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93" s="379">
        <v>2</v>
      </c>
      <c r="BP393" s="379">
        <v>1</v>
      </c>
      <c r="BQ393" s="379">
        <v>-1</v>
      </c>
      <c r="BR393" s="379">
        <v>2</v>
      </c>
      <c r="BS393" s="379">
        <v>1</v>
      </c>
      <c r="BT393" s="379">
        <v>6</v>
      </c>
      <c r="BU393" s="975" t="s">
        <v>1576</v>
      </c>
      <c r="BV393" s="975" t="s">
        <v>1842</v>
      </c>
      <c r="BW393" s="379"/>
      <c r="BX393" s="379"/>
      <c r="BY393" s="379"/>
      <c r="BZ393" s="64"/>
    </row>
    <row r="394" spans="1:78" s="62" customFormat="1" ht="40.5" customHeight="1" x14ac:dyDescent="0.25">
      <c r="A394" s="333">
        <v>393</v>
      </c>
      <c r="B394" s="680" t="s">
        <v>1787</v>
      </c>
      <c r="C394" s="900" t="s">
        <v>2549</v>
      </c>
      <c r="D394" s="533" t="s">
        <v>1556</v>
      </c>
      <c r="E394" s="62" t="s">
        <v>1570</v>
      </c>
      <c r="I394" s="647">
        <v>0.75</v>
      </c>
      <c r="J394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94" s="593">
        <f>Таблица7[[#This Row],[Размер отряда минимум]]*1.25</f>
        <v>93.75</v>
      </c>
      <c r="L394" s="593">
        <f>Таблица7[[#This Row],[Размер отряда норма]]*1.5</f>
        <v>140.625</v>
      </c>
      <c r="M394" s="594">
        <f>Таблица7[[#This Row],[Размер отряда минимум]]*2.5</f>
        <v>187.5</v>
      </c>
      <c r="N394" s="594"/>
      <c r="O394" s="594"/>
      <c r="P394" s="594"/>
      <c r="Q394" s="594"/>
      <c r="R394" s="62" t="s">
        <v>29</v>
      </c>
      <c r="S394" s="900" t="s">
        <v>2543</v>
      </c>
      <c r="T394" s="533" t="s">
        <v>976</v>
      </c>
      <c r="U394" s="681" t="s">
        <v>1789</v>
      </c>
      <c r="V394" s="902" t="s">
        <v>2551</v>
      </c>
      <c r="W394" s="533" t="s">
        <v>984</v>
      </c>
      <c r="X394" s="533" t="s">
        <v>1689</v>
      </c>
      <c r="Y394" s="533" t="s">
        <v>2409</v>
      </c>
      <c r="Z394" s="533" t="s">
        <v>1435</v>
      </c>
      <c r="AA394" s="900" t="s">
        <v>1930</v>
      </c>
      <c r="AD394" s="534" t="s">
        <v>985</v>
      </c>
      <c r="AE394" s="534"/>
      <c r="AF394" s="533" t="s">
        <v>985</v>
      </c>
      <c r="AG394" s="533"/>
      <c r="AH394" s="533" t="s">
        <v>985</v>
      </c>
      <c r="AI394" s="533"/>
      <c r="AJ394" s="534" t="s">
        <v>985</v>
      </c>
      <c r="AK394" s="534"/>
      <c r="AL394" s="535" t="s">
        <v>985</v>
      </c>
      <c r="AM394" s="533" t="s">
        <v>1178</v>
      </c>
      <c r="AN394" s="900" t="s">
        <v>2381</v>
      </c>
      <c r="AO394" s="900" t="s">
        <v>2057</v>
      </c>
      <c r="AP394" s="533" t="s">
        <v>1650</v>
      </c>
      <c r="AQ394" s="900" t="s">
        <v>2552</v>
      </c>
      <c r="AS394" s="62">
        <v>1550</v>
      </c>
      <c r="AT394" s="63"/>
      <c r="AU394" s="405">
        <v>2</v>
      </c>
      <c r="AV394" s="405" t="s">
        <v>1828</v>
      </c>
      <c r="AW394" s="405">
        <f>VLOOKUP(Таблица7[[#This Row],[Основное оружие]], Оружие[#All], 2, 0)</f>
        <v>0</v>
      </c>
      <c r="AX394" s="405">
        <f>IF(ISBLANK(Таблица7[[#This Row],[Дополнительное оружие]]),"", VLOOKUP(Таблица7[[#This Row],[Дополнительное оружие]], Оружие[#All], 2, 0))</f>
        <v>1</v>
      </c>
      <c r="AY39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9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9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5</v>
      </c>
      <c r="BB394" s="405">
        <f>VLOOKUP(Таблица7[[#This Row],[Основное оружие]], Оружие[#All], 3, 0)</f>
        <v>1</v>
      </c>
      <c r="BC394" s="405">
        <f>IF(ISBLANK(Таблица7[[#This Row],[Дополнительное оружие]]),"", VLOOKUP(Таблица7[[#This Row],[Дополнительное оружие]], Оружие[#All], 3, 0))</f>
        <v>1</v>
      </c>
      <c r="BD39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9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9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9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9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4" s="405">
        <f>Таблица7[[#This Row],[Броня]]+Таблица7[[#This Row],[Щит]]+Таблица7[[#This Row],[навык защиты]]</f>
        <v>4</v>
      </c>
      <c r="BK394" s="1006"/>
      <c r="BL394" s="1006"/>
      <c r="BM394" s="379"/>
      <c r="BN394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94" s="379">
        <v>2</v>
      </c>
      <c r="BP394" s="379">
        <v>1</v>
      </c>
      <c r="BQ394" s="379">
        <v>-1</v>
      </c>
      <c r="BR394" s="379">
        <v>2</v>
      </c>
      <c r="BS394" s="379">
        <v>1</v>
      </c>
      <c r="BT394" s="379">
        <v>6</v>
      </c>
      <c r="BU394" s="975" t="s">
        <v>1576</v>
      </c>
      <c r="BV394" s="975" t="s">
        <v>1842</v>
      </c>
      <c r="BW394" s="379"/>
      <c r="BX394" s="379"/>
      <c r="BY394" s="379"/>
      <c r="BZ394" s="64"/>
    </row>
    <row r="395" spans="1:78" s="62" customFormat="1" ht="40.5" customHeight="1" x14ac:dyDescent="0.25">
      <c r="A395" s="333">
        <v>394</v>
      </c>
      <c r="B395" s="680" t="s">
        <v>1790</v>
      </c>
      <c r="C395" s="900" t="s">
        <v>2553</v>
      </c>
      <c r="D395" s="533" t="s">
        <v>1556</v>
      </c>
      <c r="E395" s="62" t="s">
        <v>1570</v>
      </c>
      <c r="I395" s="647">
        <v>0.5</v>
      </c>
      <c r="J395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395" s="593">
        <f>Таблица7[[#This Row],[Размер отряда минимум]]*1.25</f>
        <v>62.5</v>
      </c>
      <c r="L395" s="593">
        <f>Таблица7[[#This Row],[Размер отряда норма]]*1.5</f>
        <v>93.75</v>
      </c>
      <c r="M395" s="594">
        <f>Таблица7[[#This Row],[Размер отряда минимум]]*2.5</f>
        <v>125</v>
      </c>
      <c r="N395" s="594"/>
      <c r="O395" s="594"/>
      <c r="P395" s="594"/>
      <c r="Q395" s="594"/>
      <c r="R395" s="62" t="s">
        <v>29</v>
      </c>
      <c r="S395" s="900" t="s">
        <v>2543</v>
      </c>
      <c r="T395" s="533" t="s">
        <v>976</v>
      </c>
      <c r="U395" s="901" t="s">
        <v>1791</v>
      </c>
      <c r="V395" s="902" t="s">
        <v>2554</v>
      </c>
      <c r="W395" s="533" t="s">
        <v>1001</v>
      </c>
      <c r="X395" s="533" t="s">
        <v>1471</v>
      </c>
      <c r="Y395" s="900" t="s">
        <v>1944</v>
      </c>
      <c r="Z395" s="533" t="s">
        <v>1440</v>
      </c>
      <c r="AA395" s="900" t="s">
        <v>2020</v>
      </c>
      <c r="AD395" s="534" t="s">
        <v>985</v>
      </c>
      <c r="AE395" s="534"/>
      <c r="AF395" s="533" t="s">
        <v>991</v>
      </c>
      <c r="AG395" s="533"/>
      <c r="AH395" s="533" t="s">
        <v>985</v>
      </c>
      <c r="AI395" s="533"/>
      <c r="AJ395" s="534" t="s">
        <v>985</v>
      </c>
      <c r="AK395" s="534"/>
      <c r="AL395" s="535" t="s">
        <v>985</v>
      </c>
      <c r="AM395" s="533" t="s">
        <v>977</v>
      </c>
      <c r="AN395" s="900" t="s">
        <v>2382</v>
      </c>
      <c r="AO395" s="900" t="s">
        <v>2062</v>
      </c>
      <c r="AP395" s="533" t="s">
        <v>1651</v>
      </c>
      <c r="AQ395" s="900" t="s">
        <v>2555</v>
      </c>
      <c r="AS395" s="62">
        <v>1565</v>
      </c>
      <c r="AT395" s="63"/>
      <c r="AU395" s="405">
        <v>3</v>
      </c>
      <c r="AV395" s="405" t="s">
        <v>1828</v>
      </c>
      <c r="AW395" s="405">
        <f>VLOOKUP(Таблица7[[#This Row],[Основное оружие]], Оружие[#All], 2, 0)</f>
        <v>0</v>
      </c>
      <c r="AX395" s="405">
        <f>IF(ISBLANK(Таблица7[[#This Row],[Дополнительное оружие]]),"", VLOOKUP(Таблица7[[#This Row],[Дополнительное оружие]], Оружие[#All], 2, 0))</f>
        <v>4</v>
      </c>
      <c r="AY39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9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9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395" s="405">
        <f>VLOOKUP(Таблица7[[#This Row],[Основное оружие]], Оружие[#All], 3, 0)</f>
        <v>1</v>
      </c>
      <c r="BC395" s="405">
        <f>IF(ISBLANK(Таблица7[[#This Row],[Дополнительное оружие]]),"", VLOOKUP(Таблица7[[#This Row],[Дополнительное оружие]], Оружие[#All], 3, 0))</f>
        <v>3</v>
      </c>
      <c r="BD39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9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39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9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9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5" s="405">
        <f>Таблица7[[#This Row],[Броня]]+Таблица7[[#This Row],[Щит]]+Таблица7[[#This Row],[навык защиты]]</f>
        <v>5</v>
      </c>
      <c r="BK395" s="1006"/>
      <c r="BL395" s="1006"/>
      <c r="BM395" s="379"/>
      <c r="BN395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95" s="379">
        <v>2</v>
      </c>
      <c r="BP395" s="379">
        <v>1</v>
      </c>
      <c r="BQ395" s="379">
        <v>-1</v>
      </c>
      <c r="BR395" s="379">
        <v>2</v>
      </c>
      <c r="BS395" s="379">
        <v>1</v>
      </c>
      <c r="BT395" s="379">
        <v>6</v>
      </c>
      <c r="BU395" s="975" t="s">
        <v>1576</v>
      </c>
      <c r="BV395" s="975" t="s">
        <v>1843</v>
      </c>
      <c r="BW395" s="379"/>
      <c r="BX395" s="379"/>
      <c r="BY395" s="379"/>
      <c r="BZ395" s="64"/>
    </row>
    <row r="396" spans="1:78" s="62" customFormat="1" ht="40.5" customHeight="1" x14ac:dyDescent="0.25">
      <c r="A396" s="333">
        <v>395</v>
      </c>
      <c r="B396" s="681" t="s">
        <v>1792</v>
      </c>
      <c r="C396" s="901" t="s">
        <v>2556</v>
      </c>
      <c r="D396" s="534" t="s">
        <v>1556</v>
      </c>
      <c r="E396" s="192" t="s">
        <v>1570</v>
      </c>
      <c r="F396" s="192"/>
      <c r="G396" s="192"/>
      <c r="H396" s="192"/>
      <c r="I396" s="647">
        <v>0.75</v>
      </c>
      <c r="J396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96" s="593">
        <f>Таблица7[[#This Row],[Размер отряда минимум]]*1.25</f>
        <v>93.75</v>
      </c>
      <c r="L396" s="593">
        <f>Таблица7[[#This Row],[Размер отряда норма]]*1.5</f>
        <v>140.625</v>
      </c>
      <c r="M396" s="593">
        <f>Таблица7[[#This Row],[Размер отряда минимум]]*2.5</f>
        <v>187.5</v>
      </c>
      <c r="N396" s="593"/>
      <c r="O396" s="593"/>
      <c r="P396" s="593"/>
      <c r="Q396" s="593"/>
      <c r="R396" s="192" t="s">
        <v>29</v>
      </c>
      <c r="S396" s="900" t="s">
        <v>2543</v>
      </c>
      <c r="T396" s="534" t="s">
        <v>1032</v>
      </c>
      <c r="U396" s="901" t="s">
        <v>1793</v>
      </c>
      <c r="V396" s="902" t="s">
        <v>2557</v>
      </c>
      <c r="W396" s="534" t="s">
        <v>984</v>
      </c>
      <c r="X396" s="534" t="s">
        <v>1474</v>
      </c>
      <c r="Y396" s="534" t="s">
        <v>2376</v>
      </c>
      <c r="Z396" s="534" t="s">
        <v>1435</v>
      </c>
      <c r="AA396" s="901" t="s">
        <v>1930</v>
      </c>
      <c r="AB396" s="192"/>
      <c r="AC396" s="192"/>
      <c r="AD396" s="534" t="s">
        <v>985</v>
      </c>
      <c r="AE396" s="534"/>
      <c r="AF396" s="534" t="s">
        <v>985</v>
      </c>
      <c r="AG396" s="534"/>
      <c r="AH396" s="534" t="s">
        <v>985</v>
      </c>
      <c r="AI396" s="534"/>
      <c r="AJ396" s="534" t="s">
        <v>985</v>
      </c>
      <c r="AK396" s="534"/>
      <c r="AL396" s="535" t="s">
        <v>985</v>
      </c>
      <c r="AM396" s="534" t="s">
        <v>978</v>
      </c>
      <c r="AN396" s="900" t="s">
        <v>992</v>
      </c>
      <c r="AO396" s="533" t="s">
        <v>1904</v>
      </c>
      <c r="AP396" s="900" t="s">
        <v>2548</v>
      </c>
      <c r="AQ396" s="900" t="s">
        <v>2547</v>
      </c>
      <c r="AR396" s="192"/>
      <c r="AS396" s="192">
        <v>1500</v>
      </c>
      <c r="AT396" s="63"/>
      <c r="AU396" s="406">
        <v>2</v>
      </c>
      <c r="AV396" s="405" t="s">
        <v>1827</v>
      </c>
      <c r="AW396" s="405">
        <f>VLOOKUP(Таблица7[[#This Row],[Основное оружие]], Оружие[#All], 2, 0)</f>
        <v>0</v>
      </c>
      <c r="AX396" s="405">
        <f>IF(ISBLANK(Таблица7[[#This Row],[Дополнительное оружие]]),"", VLOOKUP(Таблица7[[#This Row],[Дополнительное оружие]], Оружие[#All], 2, 0))</f>
        <v>1</v>
      </c>
      <c r="AY39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9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9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5</v>
      </c>
      <c r="BB396" s="405">
        <f>VLOOKUP(Таблица7[[#This Row],[Основное оружие]], Оружие[#All], 3, 0)</f>
        <v>1</v>
      </c>
      <c r="BC396" s="405">
        <f>IF(ISBLANK(Таблица7[[#This Row],[Дополнительное оружие]]),"", VLOOKUP(Таблица7[[#This Row],[Дополнительное оружие]], Оружие[#All], 3, 0))</f>
        <v>1</v>
      </c>
      <c r="BD39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9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9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9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9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6" s="405">
        <f>Таблица7[[#This Row],[Броня]]+Таблица7[[#This Row],[Щит]]+Таблица7[[#This Row],[навык защиты]]</f>
        <v>4</v>
      </c>
      <c r="BK396" s="1006"/>
      <c r="BL396" s="1006"/>
      <c r="BM396" s="397"/>
      <c r="BN396" s="99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96" s="397">
        <v>1</v>
      </c>
      <c r="BP396" s="397">
        <v>1</v>
      </c>
      <c r="BQ396" s="397">
        <v>0</v>
      </c>
      <c r="BR396" s="397">
        <v>2</v>
      </c>
      <c r="BS396" s="397">
        <v>0</v>
      </c>
      <c r="BT396" s="397">
        <v>7</v>
      </c>
      <c r="BU396" s="998" t="s">
        <v>1576</v>
      </c>
      <c r="BV396" s="975" t="s">
        <v>1842</v>
      </c>
      <c r="BW396" s="397"/>
      <c r="BX396" s="397"/>
      <c r="BY396" s="397"/>
      <c r="BZ396" s="64"/>
    </row>
    <row r="397" spans="1:78" s="62" customFormat="1" ht="40.5" customHeight="1" x14ac:dyDescent="0.25">
      <c r="A397" s="333">
        <v>396</v>
      </c>
      <c r="B397" s="900" t="s">
        <v>1794</v>
      </c>
      <c r="C397" s="900" t="s">
        <v>2558</v>
      </c>
      <c r="D397" s="534" t="s">
        <v>1556</v>
      </c>
      <c r="E397" s="192" t="s">
        <v>1570</v>
      </c>
      <c r="F397" s="192"/>
      <c r="G397" s="192"/>
      <c r="H397" s="192"/>
      <c r="I397" s="647">
        <v>0.75</v>
      </c>
      <c r="J397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97" s="593">
        <f>Таблица7[[#This Row],[Размер отряда минимум]]*1.25</f>
        <v>93.75</v>
      </c>
      <c r="L397" s="593">
        <f>Таблица7[[#This Row],[Размер отряда норма]]*1.5</f>
        <v>140.625</v>
      </c>
      <c r="M397" s="594">
        <f>Таблица7[[#This Row],[Размер отряда минимум]]*2.5</f>
        <v>187.5</v>
      </c>
      <c r="N397" s="594"/>
      <c r="O397" s="594"/>
      <c r="P397" s="594"/>
      <c r="Q397" s="594"/>
      <c r="R397" s="62" t="s">
        <v>29</v>
      </c>
      <c r="S397" s="900" t="s">
        <v>2543</v>
      </c>
      <c r="T397" s="534" t="s">
        <v>1032</v>
      </c>
      <c r="U397" s="901" t="s">
        <v>1795</v>
      </c>
      <c r="V397" s="902" t="s">
        <v>2559</v>
      </c>
      <c r="W397" s="534" t="s">
        <v>984</v>
      </c>
      <c r="X397" s="533" t="s">
        <v>1467</v>
      </c>
      <c r="Y397" s="900" t="s">
        <v>1937</v>
      </c>
      <c r="Z397" s="533" t="s">
        <v>1435</v>
      </c>
      <c r="AA397" s="900" t="s">
        <v>1930</v>
      </c>
      <c r="AD397" s="534" t="s">
        <v>985</v>
      </c>
      <c r="AE397" s="534"/>
      <c r="AF397" s="533" t="s">
        <v>985</v>
      </c>
      <c r="AG397" s="533"/>
      <c r="AH397" s="533" t="s">
        <v>985</v>
      </c>
      <c r="AI397" s="533"/>
      <c r="AJ397" s="534" t="s">
        <v>985</v>
      </c>
      <c r="AK397" s="534"/>
      <c r="AL397" s="535" t="s">
        <v>985</v>
      </c>
      <c r="AM397" s="534" t="s">
        <v>978</v>
      </c>
      <c r="AN397" s="900" t="s">
        <v>992</v>
      </c>
      <c r="AO397" s="533" t="s">
        <v>1904</v>
      </c>
      <c r="AP397" s="900" t="s">
        <v>2548</v>
      </c>
      <c r="AQ397" s="900" t="s">
        <v>2547</v>
      </c>
      <c r="AS397" s="62">
        <v>1500</v>
      </c>
      <c r="AT397" s="63"/>
      <c r="AU397" s="405">
        <v>2</v>
      </c>
      <c r="AV397" s="405" t="s">
        <v>1827</v>
      </c>
      <c r="AW397" s="405">
        <f>VLOOKUP(Таблица7[[#This Row],[Основное оружие]], Оружие[#All], 2, 0)</f>
        <v>0</v>
      </c>
      <c r="AX397" s="405">
        <f>IF(ISBLANK(Таблица7[[#This Row],[Дополнительное оружие]]),"", VLOOKUP(Таблица7[[#This Row],[Дополнительное оружие]], Оружие[#All], 2, 0))</f>
        <v>1</v>
      </c>
      <c r="AY39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9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9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5</v>
      </c>
      <c r="BB397" s="405">
        <f>VLOOKUP(Таблица7[[#This Row],[Основное оружие]], Оружие[#All], 3, 0)</f>
        <v>1</v>
      </c>
      <c r="BC397" s="405">
        <f>IF(ISBLANK(Таблица7[[#This Row],[Дополнительное оружие]]),"", VLOOKUP(Таблица7[[#This Row],[Дополнительное оружие]], Оружие[#All], 3, 0))</f>
        <v>1</v>
      </c>
      <c r="BD39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9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9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9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39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7" s="405">
        <f>Таблица7[[#This Row],[Броня]]+Таблица7[[#This Row],[Щит]]+Таблица7[[#This Row],[навык защиты]]</f>
        <v>4</v>
      </c>
      <c r="BK397" s="1006"/>
      <c r="BL397" s="1006"/>
      <c r="BM397" s="379"/>
      <c r="BN397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97" s="379">
        <v>1</v>
      </c>
      <c r="BP397" s="379">
        <v>1</v>
      </c>
      <c r="BQ397" s="379">
        <v>0</v>
      </c>
      <c r="BR397" s="379">
        <v>2</v>
      </c>
      <c r="BS397" s="379">
        <v>0</v>
      </c>
      <c r="BT397" s="379">
        <v>6</v>
      </c>
      <c r="BU397" s="975" t="s">
        <v>1576</v>
      </c>
      <c r="BV397" s="975" t="s">
        <v>1842</v>
      </c>
      <c r="BW397" s="379"/>
      <c r="BX397" s="379"/>
      <c r="BY397" s="379"/>
      <c r="BZ397" s="64"/>
    </row>
    <row r="398" spans="1:78" s="62" customFormat="1" ht="40.5" customHeight="1" x14ac:dyDescent="0.25">
      <c r="A398" s="333">
        <v>397</v>
      </c>
      <c r="B398" s="900" t="s">
        <v>1796</v>
      </c>
      <c r="C398" s="900" t="s">
        <v>2560</v>
      </c>
      <c r="D398" s="534" t="s">
        <v>1556</v>
      </c>
      <c r="E398" s="62" t="s">
        <v>1570</v>
      </c>
      <c r="I398" s="647">
        <v>0.75</v>
      </c>
      <c r="J398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98" s="593">
        <f>Таблица7[[#This Row],[Размер отряда минимум]]*1.25</f>
        <v>93.75</v>
      </c>
      <c r="L398" s="593">
        <f>Таблица7[[#This Row],[Размер отряда норма]]*1.5</f>
        <v>140.625</v>
      </c>
      <c r="M398" s="594">
        <f>Таблица7[[#This Row],[Размер отряда минимум]]*2.5</f>
        <v>187.5</v>
      </c>
      <c r="N398" s="594"/>
      <c r="O398" s="594"/>
      <c r="P398" s="594"/>
      <c r="Q398" s="594"/>
      <c r="R398" s="62" t="s">
        <v>29</v>
      </c>
      <c r="S398" s="900" t="s">
        <v>2543</v>
      </c>
      <c r="T398" s="534" t="s">
        <v>1032</v>
      </c>
      <c r="U398" s="901" t="s">
        <v>1797</v>
      </c>
      <c r="V398" s="902" t="s">
        <v>2561</v>
      </c>
      <c r="W398" s="533" t="s">
        <v>984</v>
      </c>
      <c r="X398" s="533" t="s">
        <v>1470</v>
      </c>
      <c r="Y398" s="900" t="s">
        <v>1940</v>
      </c>
      <c r="Z398" s="533" t="s">
        <v>1020</v>
      </c>
      <c r="AA398" s="900" t="s">
        <v>1916</v>
      </c>
      <c r="AD398" s="534" t="s">
        <v>985</v>
      </c>
      <c r="AE398" s="534"/>
      <c r="AF398" s="533" t="s">
        <v>985</v>
      </c>
      <c r="AG398" s="533"/>
      <c r="AH398" s="533" t="s">
        <v>985</v>
      </c>
      <c r="AI398" s="533"/>
      <c r="AJ398" s="534" t="s">
        <v>985</v>
      </c>
      <c r="AK398" s="534"/>
      <c r="AL398" s="535" t="s">
        <v>985</v>
      </c>
      <c r="AM398" s="533" t="s">
        <v>978</v>
      </c>
      <c r="AN398" s="900" t="s">
        <v>992</v>
      </c>
      <c r="AO398" s="533" t="s">
        <v>1904</v>
      </c>
      <c r="AP398" s="900" t="s">
        <v>2548</v>
      </c>
      <c r="AQ398" s="900" t="s">
        <v>2547</v>
      </c>
      <c r="AS398" s="62">
        <v>1500</v>
      </c>
      <c r="AT398" s="63"/>
      <c r="AU398" s="405">
        <v>3</v>
      </c>
      <c r="AV398" s="405" t="s">
        <v>1827</v>
      </c>
      <c r="AW398" s="405">
        <f>VLOOKUP(Таблица7[[#This Row],[Основное оружие]], Оружие[#All], 2, 0)</f>
        <v>0</v>
      </c>
      <c r="AX398" s="405">
        <f>IF(ISBLANK(Таблица7[[#This Row],[Дополнительное оружие]]),"", VLOOKUP(Таблица7[[#This Row],[Дополнительное оружие]], Оружие[#All], 2, 0))</f>
        <v>2</v>
      </c>
      <c r="AY39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39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9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398" s="405">
        <f>VLOOKUP(Таблица7[[#This Row],[Основное оружие]], Оружие[#All], 3, 0)</f>
        <v>1</v>
      </c>
      <c r="BC398" s="405">
        <f>IF(ISBLANK(Таблица7[[#This Row],[Дополнительное оружие]]),"", VLOOKUP(Таблица7[[#This Row],[Дополнительное оружие]], Оружие[#All], 3, 0))</f>
        <v>3</v>
      </c>
      <c r="BD39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39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39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9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9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8" s="405">
        <f>Таблица7[[#This Row],[Броня]]+Таблица7[[#This Row],[Щит]]+Таблица7[[#This Row],[навык защиты]]</f>
        <v>5</v>
      </c>
      <c r="BK398" s="1006"/>
      <c r="BL398" s="1006"/>
      <c r="BM398" s="379"/>
      <c r="BN398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398" s="379">
        <v>1</v>
      </c>
      <c r="BP398" s="379">
        <v>1</v>
      </c>
      <c r="BQ398" s="379">
        <v>0</v>
      </c>
      <c r="BR398" s="379">
        <v>2</v>
      </c>
      <c r="BS398" s="379">
        <v>0</v>
      </c>
      <c r="BT398" s="379">
        <v>6</v>
      </c>
      <c r="BU398" s="975" t="s">
        <v>1576</v>
      </c>
      <c r="BV398" s="975" t="s">
        <v>1842</v>
      </c>
      <c r="BW398" s="379"/>
      <c r="BX398" s="379"/>
      <c r="BY398" s="379"/>
      <c r="BZ398" s="64"/>
    </row>
    <row r="399" spans="1:78" s="62" customFormat="1" ht="40.5" customHeight="1" x14ac:dyDescent="0.25">
      <c r="A399" s="333">
        <v>398</v>
      </c>
      <c r="B399" s="901" t="s">
        <v>1798</v>
      </c>
      <c r="C399" s="901" t="s">
        <v>2562</v>
      </c>
      <c r="D399" s="534" t="s">
        <v>1556</v>
      </c>
      <c r="E399" s="192" t="s">
        <v>1571</v>
      </c>
      <c r="F399" s="192"/>
      <c r="G399" s="192"/>
      <c r="H399" s="192"/>
      <c r="I399" s="647">
        <v>0.75</v>
      </c>
      <c r="J399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399" s="593">
        <f>Таблица7[[#This Row],[Размер отряда минимум]]*1.25</f>
        <v>93.75</v>
      </c>
      <c r="L399" s="593">
        <f>Таблица7[[#This Row],[Размер отряда норма]]*1.5</f>
        <v>140.625</v>
      </c>
      <c r="M399" s="593">
        <f>Таблица7[[#This Row],[Размер отряда минимум]]*2.5</f>
        <v>187.5</v>
      </c>
      <c r="N399" s="593"/>
      <c r="O399" s="593"/>
      <c r="P399" s="593"/>
      <c r="Q399" s="593"/>
      <c r="R399" s="192" t="s">
        <v>29</v>
      </c>
      <c r="S399" s="900" t="s">
        <v>2543</v>
      </c>
      <c r="T399" s="534" t="s">
        <v>1032</v>
      </c>
      <c r="U399" s="901" t="s">
        <v>1799</v>
      </c>
      <c r="V399" s="902" t="s">
        <v>2563</v>
      </c>
      <c r="W399" s="534" t="s">
        <v>1001</v>
      </c>
      <c r="X399" s="534" t="s">
        <v>1469</v>
      </c>
      <c r="Y399" s="534" t="s">
        <v>2056</v>
      </c>
      <c r="Z399" s="534" t="s">
        <v>1441</v>
      </c>
      <c r="AA399" s="901" t="s">
        <v>1934</v>
      </c>
      <c r="AB399" s="192"/>
      <c r="AC399" s="192"/>
      <c r="AD399" s="192" t="s">
        <v>1491</v>
      </c>
      <c r="AE399" s="192" t="s">
        <v>2428</v>
      </c>
      <c r="AF399" s="192" t="s">
        <v>1483</v>
      </c>
      <c r="AG399" s="192" t="s">
        <v>2429</v>
      </c>
      <c r="AH399" s="534" t="s">
        <v>985</v>
      </c>
      <c r="AI399" s="534"/>
      <c r="AJ399" s="534" t="s">
        <v>985</v>
      </c>
      <c r="AK399" s="534"/>
      <c r="AL399" s="535" t="s">
        <v>985</v>
      </c>
      <c r="AM399" s="534" t="s">
        <v>977</v>
      </c>
      <c r="AN399" s="900" t="s">
        <v>992</v>
      </c>
      <c r="AO399" s="533" t="s">
        <v>1904</v>
      </c>
      <c r="AP399" s="900" t="s">
        <v>2548</v>
      </c>
      <c r="AQ399" s="900" t="s">
        <v>2547</v>
      </c>
      <c r="AS399" s="62">
        <v>1500</v>
      </c>
      <c r="AT399" s="63"/>
      <c r="AU399" s="406">
        <v>4</v>
      </c>
      <c r="AV399" s="405" t="s">
        <v>1827</v>
      </c>
      <c r="AW399" s="405">
        <f>VLOOKUP(Таблица7[[#This Row],[Основное оружие]], Оружие[#All], 2, 0)</f>
        <v>0</v>
      </c>
      <c r="AX399" s="405">
        <f>IF(ISBLANK(Таблица7[[#This Row],[Дополнительное оружие]]),"", VLOOKUP(Таблица7[[#This Row],[Дополнительное оружие]], Оружие[#All], 2, 0))</f>
        <v>4</v>
      </c>
      <c r="AY39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39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39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399" s="405">
        <f>VLOOKUP(Таблица7[[#This Row],[Основное оружие]], Оружие[#All], 3, 0)</f>
        <v>1</v>
      </c>
      <c r="BC399" s="405">
        <f>IF(ISBLANK(Таблица7[[#This Row],[Дополнительное оружие]]),"", VLOOKUP(Таблица7[[#This Row],[Дополнительное оружие]], Оружие[#All], 3, 0))</f>
        <v>3</v>
      </c>
      <c r="BD39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9</v>
      </c>
      <c r="BE39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11</v>
      </c>
      <c r="BF39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39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39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39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399" s="405">
        <f>Таблица7[[#This Row],[Броня]]+Таблица7[[#This Row],[Щит]]+Таблица7[[#This Row],[навык защиты]]</f>
        <v>13</v>
      </c>
      <c r="BK399" s="1006"/>
      <c r="BL399" s="1006"/>
      <c r="BM399" s="397"/>
      <c r="BN399" s="998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399" s="397">
        <v>1</v>
      </c>
      <c r="BP399" s="397">
        <v>1</v>
      </c>
      <c r="BQ399" s="397">
        <v>0</v>
      </c>
      <c r="BR399" s="397">
        <v>2</v>
      </c>
      <c r="BS399" s="397">
        <v>0</v>
      </c>
      <c r="BT399" s="397">
        <v>6</v>
      </c>
      <c r="BU399" s="998" t="s">
        <v>1576</v>
      </c>
      <c r="BV399" s="998" t="s">
        <v>1843</v>
      </c>
      <c r="BW399" s="397"/>
      <c r="BX399" s="397"/>
      <c r="BY399" s="397"/>
      <c r="BZ399" s="64"/>
    </row>
    <row r="400" spans="1:78" s="62" customFormat="1" ht="40.5" customHeight="1" x14ac:dyDescent="0.25">
      <c r="A400" s="333">
        <v>399</v>
      </c>
      <c r="B400" s="900" t="s">
        <v>1800</v>
      </c>
      <c r="C400" s="900" t="s">
        <v>2564</v>
      </c>
      <c r="D400" s="534" t="s">
        <v>1556</v>
      </c>
      <c r="E400" s="62" t="s">
        <v>1570</v>
      </c>
      <c r="I400" s="647">
        <v>0.75</v>
      </c>
      <c r="J400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00" s="593">
        <f>Таблица7[[#This Row],[Размер отряда минимум]]*1.25</f>
        <v>93.75</v>
      </c>
      <c r="L400" s="593">
        <f>Таблица7[[#This Row],[Размер отряда норма]]*1.5</f>
        <v>140.625</v>
      </c>
      <c r="M400" s="594">
        <f>Таблица7[[#This Row],[Размер отряда минимум]]*2.5</f>
        <v>187.5</v>
      </c>
      <c r="N400" s="594"/>
      <c r="O400" s="594"/>
      <c r="P400" s="594"/>
      <c r="Q400" s="594"/>
      <c r="R400" s="62" t="s">
        <v>29</v>
      </c>
      <c r="S400" s="900" t="s">
        <v>2543</v>
      </c>
      <c r="T400" s="534" t="s">
        <v>1032</v>
      </c>
      <c r="U400" s="901" t="s">
        <v>1801</v>
      </c>
      <c r="V400" s="902" t="s">
        <v>2566</v>
      </c>
      <c r="W400" s="533" t="s">
        <v>984</v>
      </c>
      <c r="X400" s="533" t="s">
        <v>1469</v>
      </c>
      <c r="Y400" s="534" t="s">
        <v>2056</v>
      </c>
      <c r="Z400" s="533" t="s">
        <v>1435</v>
      </c>
      <c r="AA400" s="900" t="s">
        <v>1930</v>
      </c>
      <c r="AD400" s="534" t="s">
        <v>985</v>
      </c>
      <c r="AE400" s="534"/>
      <c r="AF400" s="533" t="s">
        <v>985</v>
      </c>
      <c r="AG400" s="533"/>
      <c r="AH400" s="533" t="s">
        <v>985</v>
      </c>
      <c r="AI400" s="533"/>
      <c r="AJ400" s="534" t="s">
        <v>985</v>
      </c>
      <c r="AK400" s="534"/>
      <c r="AL400" s="535" t="s">
        <v>985</v>
      </c>
      <c r="AM400" s="533" t="s">
        <v>978</v>
      </c>
      <c r="AN400" s="900" t="s">
        <v>992</v>
      </c>
      <c r="AO400" s="533" t="s">
        <v>1904</v>
      </c>
      <c r="AP400" s="900" t="s">
        <v>2548</v>
      </c>
      <c r="AQ400" s="900" t="s">
        <v>2547</v>
      </c>
      <c r="AS400" s="62">
        <v>1500</v>
      </c>
      <c r="AT400" s="63"/>
      <c r="AU400" s="405">
        <v>4</v>
      </c>
      <c r="AV400" s="405" t="s">
        <v>1828</v>
      </c>
      <c r="AW400" s="405">
        <f>VLOOKUP(Таблица7[[#This Row],[Основное оружие]], Оружие[#All], 2, 0)</f>
        <v>0</v>
      </c>
      <c r="AX400" s="405">
        <f>IF(ISBLANK(Таблица7[[#This Row],[Дополнительное оружие]]),"", VLOOKUP(Таблица7[[#This Row],[Дополнительное оружие]], Оружие[#All], 2, 0))</f>
        <v>1</v>
      </c>
      <c r="AY40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0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0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7</v>
      </c>
      <c r="BB400" s="405">
        <f>VLOOKUP(Таблица7[[#This Row],[Основное оружие]], Оружие[#All], 3, 0)</f>
        <v>1</v>
      </c>
      <c r="BC400" s="405">
        <f>IF(ISBLANK(Таблица7[[#This Row],[Дополнительное оружие]]),"", VLOOKUP(Таблица7[[#This Row],[Дополнительное оружие]], Оружие[#All], 3, 0))</f>
        <v>1</v>
      </c>
      <c r="BD40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0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0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0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0" s="405">
        <f>Таблица7[[#This Row],[Броня]]+Таблица7[[#This Row],[Щит]]+Таблица7[[#This Row],[навык защиты]]</f>
        <v>6</v>
      </c>
      <c r="BK400" s="1006"/>
      <c r="BL400" s="1006"/>
      <c r="BM400" s="379"/>
      <c r="BN400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00" s="379">
        <v>1</v>
      </c>
      <c r="BP400" s="379">
        <v>1</v>
      </c>
      <c r="BQ400" s="379">
        <v>0</v>
      </c>
      <c r="BR400" s="379">
        <v>2</v>
      </c>
      <c r="BS400" s="379">
        <v>0</v>
      </c>
      <c r="BT400" s="379">
        <v>7</v>
      </c>
      <c r="BU400" s="975" t="s">
        <v>1576</v>
      </c>
      <c r="BV400" s="975" t="s">
        <v>1843</v>
      </c>
      <c r="BW400" s="379"/>
      <c r="BX400" s="379"/>
      <c r="BY400" s="379"/>
      <c r="BZ400" s="64"/>
    </row>
    <row r="401" spans="1:78" s="62" customFormat="1" ht="40.5" customHeight="1" x14ac:dyDescent="0.25">
      <c r="A401" s="333">
        <v>400</v>
      </c>
      <c r="B401" s="901" t="s">
        <v>1802</v>
      </c>
      <c r="C401" s="901" t="s">
        <v>2565</v>
      </c>
      <c r="D401" s="62" t="s">
        <v>1555</v>
      </c>
      <c r="E401" s="62" t="s">
        <v>1546</v>
      </c>
      <c r="I401" s="647">
        <v>0.75</v>
      </c>
      <c r="J401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401" s="593">
        <f>Таблица7[[#This Row],[Размер отряда минимум]]*1.25</f>
        <v>37.5</v>
      </c>
      <c r="L401" s="593">
        <f>Таблица7[[#This Row],[Размер отряда норма]]*1.5</f>
        <v>56.25</v>
      </c>
      <c r="M401" s="594">
        <f>Таблица7[[#This Row],[Размер отряда минимум]]*2.5</f>
        <v>75</v>
      </c>
      <c r="N401" s="594"/>
      <c r="O401" s="594"/>
      <c r="P401" s="594"/>
      <c r="Q401" s="594"/>
      <c r="R401" s="62" t="s">
        <v>29</v>
      </c>
      <c r="S401" s="900" t="s">
        <v>2543</v>
      </c>
      <c r="T401" s="533" t="s">
        <v>1032</v>
      </c>
      <c r="U401" s="901" t="s">
        <v>1803</v>
      </c>
      <c r="V401" s="902" t="s">
        <v>2567</v>
      </c>
      <c r="W401" s="533" t="s">
        <v>984</v>
      </c>
      <c r="X401" s="62" t="s">
        <v>1528</v>
      </c>
      <c r="Y401" s="900" t="s">
        <v>2023</v>
      </c>
      <c r="Z401" s="533" t="s">
        <v>1441</v>
      </c>
      <c r="AA401" s="900" t="s">
        <v>1934</v>
      </c>
      <c r="AB401" s="62" t="s">
        <v>1475</v>
      </c>
      <c r="AC401" s="900" t="s">
        <v>1922</v>
      </c>
      <c r="AD401" s="534" t="s">
        <v>985</v>
      </c>
      <c r="AE401" s="534"/>
      <c r="AF401" s="533" t="s">
        <v>985</v>
      </c>
      <c r="AG401" s="533"/>
      <c r="AH401" s="533" t="s">
        <v>985</v>
      </c>
      <c r="AI401" s="533"/>
      <c r="AJ401" s="534" t="s">
        <v>985</v>
      </c>
      <c r="AK401" s="534"/>
      <c r="AL401" s="535" t="s">
        <v>985</v>
      </c>
      <c r="AM401" s="533" t="s">
        <v>977</v>
      </c>
      <c r="AN401" s="900" t="s">
        <v>992</v>
      </c>
      <c r="AO401" s="533" t="s">
        <v>1904</v>
      </c>
      <c r="AP401" s="900" t="s">
        <v>2548</v>
      </c>
      <c r="AQ401" s="900" t="s">
        <v>2547</v>
      </c>
      <c r="AS401" s="62">
        <v>1500</v>
      </c>
      <c r="AT401" s="63"/>
      <c r="AU401" s="405">
        <v>7</v>
      </c>
      <c r="AV401" s="405"/>
      <c r="AW401" s="405">
        <f>VLOOKUP(Таблица7[[#This Row],[Основное оружие]], Оружие[#All], 2, 0)</f>
        <v>2</v>
      </c>
      <c r="AX401" s="405">
        <f>IF(ISBLANK(Таблица7[[#This Row],[Дополнительное оружие]]),"", VLOOKUP(Таблица7[[#This Row],[Дополнительное оружие]], Оружие[#All], 2, 0))</f>
        <v>4</v>
      </c>
      <c r="AY40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0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40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01" s="405">
        <f>VLOOKUP(Таблица7[[#This Row],[Основное оружие]], Оружие[#All], 3, 0)</f>
        <v>6</v>
      </c>
      <c r="BC401" s="405">
        <f>IF(ISBLANK(Таблица7[[#This Row],[Дополнительное оружие]]),"", VLOOKUP(Таблица7[[#This Row],[Дополнительное оружие]], Оружие[#All], 3, 0))</f>
        <v>3</v>
      </c>
      <c r="BD40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0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0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0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401" s="405">
        <f>Таблица7[[#This Row],[Броня]]+Таблица7[[#This Row],[Щит]]+Таблица7[[#This Row],[навык защиты]]</f>
        <v>10</v>
      </c>
      <c r="BK401" s="1006"/>
      <c r="BL401" s="1006"/>
      <c r="BM401" s="379"/>
      <c r="BN401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01" s="379">
        <v>1</v>
      </c>
      <c r="BP401" s="379">
        <v>-2</v>
      </c>
      <c r="BQ401" s="379">
        <v>0</v>
      </c>
      <c r="BR401" s="379">
        <v>-4</v>
      </c>
      <c r="BS401" s="379">
        <v>-2</v>
      </c>
      <c r="BT401" s="379">
        <v>7</v>
      </c>
      <c r="BU401" s="975" t="s">
        <v>1576</v>
      </c>
      <c r="BV401" s="975" t="s">
        <v>1843</v>
      </c>
      <c r="BW401" s="379"/>
      <c r="BX401" s="379"/>
      <c r="BY401" s="379"/>
      <c r="BZ401" s="64"/>
    </row>
    <row r="402" spans="1:78" s="62" customFormat="1" ht="40.5" customHeight="1" x14ac:dyDescent="0.25">
      <c r="A402" s="333">
        <v>401</v>
      </c>
      <c r="B402" s="900" t="s">
        <v>1804</v>
      </c>
      <c r="C402" s="900" t="s">
        <v>2568</v>
      </c>
      <c r="D402" s="533" t="s">
        <v>1555</v>
      </c>
      <c r="E402" s="62" t="s">
        <v>1547</v>
      </c>
      <c r="I402" s="647">
        <v>0.75</v>
      </c>
      <c r="J402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402" s="593">
        <f>Таблица7[[#This Row],[Размер отряда минимум]]*1.25</f>
        <v>18.75</v>
      </c>
      <c r="L402" s="593">
        <f>Таблица7[[#This Row],[Размер отряда норма]]*1.5</f>
        <v>28.125</v>
      </c>
      <c r="M402" s="594">
        <f>Таблица7[[#This Row],[Размер отряда минимум]]*2.5</f>
        <v>37.5</v>
      </c>
      <c r="N402" s="594"/>
      <c r="O402" s="594"/>
      <c r="P402" s="594"/>
      <c r="Q402" s="594"/>
      <c r="R402" s="62" t="s">
        <v>29</v>
      </c>
      <c r="S402" s="900" t="s">
        <v>2543</v>
      </c>
      <c r="T402" s="533" t="s">
        <v>975</v>
      </c>
      <c r="U402" s="901" t="s">
        <v>1805</v>
      </c>
      <c r="V402" s="902" t="s">
        <v>2569</v>
      </c>
      <c r="W402" s="534" t="s">
        <v>1001</v>
      </c>
      <c r="X402" s="62" t="s">
        <v>2105</v>
      </c>
      <c r="Y402" s="62" t="s">
        <v>2024</v>
      </c>
      <c r="Z402" s="533" t="s">
        <v>1036</v>
      </c>
      <c r="AA402" s="900" t="s">
        <v>1929</v>
      </c>
      <c r="AD402" s="192" t="s">
        <v>1481</v>
      </c>
      <c r="AE402" s="192" t="s">
        <v>1978</v>
      </c>
      <c r="AF402" s="533" t="s">
        <v>985</v>
      </c>
      <c r="AG402" s="533"/>
      <c r="AH402" s="533" t="s">
        <v>985</v>
      </c>
      <c r="AI402" s="533"/>
      <c r="AJ402" s="534" t="s">
        <v>1004</v>
      </c>
      <c r="AK402" s="901" t="s">
        <v>1952</v>
      </c>
      <c r="AL402" s="535" t="s">
        <v>1163</v>
      </c>
      <c r="AM402" s="533" t="s">
        <v>977</v>
      </c>
      <c r="AN402" s="533" t="s">
        <v>999</v>
      </c>
      <c r="AO402" s="900" t="s">
        <v>2032</v>
      </c>
      <c r="AP402" s="533" t="s">
        <v>1652</v>
      </c>
      <c r="AQ402" s="900" t="s">
        <v>2572</v>
      </c>
      <c r="AS402" s="62">
        <v>1500</v>
      </c>
      <c r="AT402" s="63">
        <v>1565</v>
      </c>
      <c r="AU402" s="405">
        <v>6</v>
      </c>
      <c r="AV402" s="405"/>
      <c r="AW402" s="405">
        <f>VLOOKUP(Таблица7[[#This Row],[Основное оружие]], Оружие[#All], 2, 0)</f>
        <v>2</v>
      </c>
      <c r="AX402" s="405">
        <f>IF(ISBLANK(Таблица7[[#This Row],[Дополнительное оружие]]),"", VLOOKUP(Таблица7[[#This Row],[Дополнительное оружие]], Оружие[#All], 2, 0))</f>
        <v>5</v>
      </c>
      <c r="AY40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0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40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02" s="405">
        <f>VLOOKUP(Таблица7[[#This Row],[Основное оружие]], Оружие[#All], 3, 0)</f>
        <v>10</v>
      </c>
      <c r="BC402" s="405">
        <f>IF(ISBLANK(Таблица7[[#This Row],[Дополнительное оружие]]),"", VLOOKUP(Таблица7[[#This Row],[Дополнительное оружие]], Оружие[#All], 3, 0))</f>
        <v>3</v>
      </c>
      <c r="BD40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19</v>
      </c>
      <c r="BE40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0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0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2" s="405">
        <f>Таблица7[[#This Row],[Броня]]+Таблица7[[#This Row],[Щит]]+Таблица7[[#This Row],[навык защиты]]</f>
        <v>22</v>
      </c>
      <c r="BK402" s="1006"/>
      <c r="BL402" s="1006"/>
      <c r="BM402" s="379"/>
      <c r="BN402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02" s="379">
        <v>1</v>
      </c>
      <c r="BP402" s="379">
        <v>-2</v>
      </c>
      <c r="BQ402" s="379">
        <v>0</v>
      </c>
      <c r="BR402" s="379">
        <v>-4</v>
      </c>
      <c r="BS402" s="379">
        <v>-2</v>
      </c>
      <c r="BT402" s="379">
        <v>9</v>
      </c>
      <c r="BU402" s="975" t="s">
        <v>1576</v>
      </c>
      <c r="BV402" s="975" t="s">
        <v>1843</v>
      </c>
      <c r="BW402" s="379"/>
      <c r="BX402" s="379"/>
      <c r="BY402" s="379"/>
      <c r="BZ402" s="64"/>
    </row>
    <row r="403" spans="1:78" s="62" customFormat="1" ht="40.5" customHeight="1" x14ac:dyDescent="0.25">
      <c r="A403" s="333">
        <v>402</v>
      </c>
      <c r="B403" s="901" t="s">
        <v>1806</v>
      </c>
      <c r="C403" s="901" t="s">
        <v>2573</v>
      </c>
      <c r="D403" s="533" t="s">
        <v>1555</v>
      </c>
      <c r="E403" s="62" t="s">
        <v>1547</v>
      </c>
      <c r="I403" s="647">
        <v>0.75</v>
      </c>
      <c r="J403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403" s="593">
        <f>Таблица7[[#This Row],[Размер отряда минимум]]*1.25</f>
        <v>22.5</v>
      </c>
      <c r="L403" s="593">
        <f>Таблица7[[#This Row],[Размер отряда норма]]*1.5</f>
        <v>33.75</v>
      </c>
      <c r="M403" s="594">
        <f>Таблица7[[#This Row],[Размер отряда минимум]]*2.5</f>
        <v>45</v>
      </c>
      <c r="N403" s="594"/>
      <c r="O403" s="594"/>
      <c r="P403" s="594"/>
      <c r="Q403" s="594"/>
      <c r="R403" s="62" t="s">
        <v>29</v>
      </c>
      <c r="S403" s="900" t="s">
        <v>2543</v>
      </c>
      <c r="T403" s="533" t="s">
        <v>976</v>
      </c>
      <c r="U403" s="901" t="s">
        <v>1807</v>
      </c>
      <c r="V403" s="902" t="s">
        <v>2570</v>
      </c>
      <c r="W403" s="533" t="s">
        <v>1001</v>
      </c>
      <c r="X403" s="62" t="s">
        <v>1950</v>
      </c>
      <c r="Y403" s="62" t="s">
        <v>1949</v>
      </c>
      <c r="Z403" s="533" t="s">
        <v>1512</v>
      </c>
      <c r="AA403" s="533" t="s">
        <v>2047</v>
      </c>
      <c r="AD403" s="192" t="s">
        <v>1481</v>
      </c>
      <c r="AE403" s="192" t="s">
        <v>1978</v>
      </c>
      <c r="AF403" s="533" t="s">
        <v>985</v>
      </c>
      <c r="AG403" s="533"/>
      <c r="AH403" s="533" t="s">
        <v>985</v>
      </c>
      <c r="AI403" s="533"/>
      <c r="AJ403" s="534" t="s">
        <v>1005</v>
      </c>
      <c r="AK403" s="534" t="s">
        <v>2031</v>
      </c>
      <c r="AL403" s="535" t="s">
        <v>985</v>
      </c>
      <c r="AM403" s="533" t="s">
        <v>977</v>
      </c>
      <c r="AN403" s="533" t="s">
        <v>999</v>
      </c>
      <c r="AO403" s="900" t="s">
        <v>2032</v>
      </c>
      <c r="AP403" s="900" t="s">
        <v>2571</v>
      </c>
      <c r="AQ403" s="900" t="s">
        <v>2574</v>
      </c>
      <c r="AS403" s="62">
        <v>1565</v>
      </c>
      <c r="AT403" s="63"/>
      <c r="AU403" s="405">
        <v>6</v>
      </c>
      <c r="AV403" s="405" t="s">
        <v>1827</v>
      </c>
      <c r="AW403" s="405">
        <f>VLOOKUP(Таблица7[[#This Row],[Основное оружие]], Оружие[#All], 2, 0)</f>
        <v>0</v>
      </c>
      <c r="AX403" s="405">
        <f>IF(ISBLANK(Таблица7[[#This Row],[Дополнительное оружие]]),"", VLOOKUP(Таблица7[[#This Row],[Дополнительное оружие]], Оружие[#All], 2, 0))</f>
        <v>4</v>
      </c>
      <c r="AY40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0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0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03" s="405">
        <f>VLOOKUP(Таблица7[[#This Row],[Основное оружие]], Оружие[#All], 3, 0)</f>
        <v>1</v>
      </c>
      <c r="BC403" s="405">
        <f>IF(ISBLANK(Таблица7[[#This Row],[Дополнительное оружие]]),"", VLOOKUP(Таблица7[[#This Row],[Дополнительное оружие]], Оружие[#All], 3, 0))</f>
        <v>6</v>
      </c>
      <c r="BD40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40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40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0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3" s="405">
        <f>Таблица7[[#This Row],[Броня]]+Таблица7[[#This Row],[Щит]]+Таблица7[[#This Row],[навык защиты]]</f>
        <v>20</v>
      </c>
      <c r="BK403" s="1006"/>
      <c r="BL403" s="1006"/>
      <c r="BM403" s="379"/>
      <c r="BN403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03" s="379">
        <v>1</v>
      </c>
      <c r="BP403" s="379">
        <v>-2</v>
      </c>
      <c r="BQ403" s="379">
        <v>0</v>
      </c>
      <c r="BR403" s="379">
        <v>-4</v>
      </c>
      <c r="BS403" s="379">
        <v>-2</v>
      </c>
      <c r="BT403" s="379">
        <v>9</v>
      </c>
      <c r="BU403" s="975" t="s">
        <v>1576</v>
      </c>
      <c r="BV403" s="975" t="s">
        <v>1843</v>
      </c>
      <c r="BW403" s="379"/>
      <c r="BX403" s="379"/>
      <c r="BY403" s="379"/>
      <c r="BZ403" s="64"/>
    </row>
    <row r="404" spans="1:78" s="62" customFormat="1" ht="40.5" customHeight="1" x14ac:dyDescent="0.25">
      <c r="A404" s="333">
        <v>403</v>
      </c>
      <c r="B404" s="900" t="s">
        <v>1808</v>
      </c>
      <c r="C404" s="900" t="s">
        <v>2575</v>
      </c>
      <c r="D404" s="533" t="s">
        <v>1555</v>
      </c>
      <c r="E404" s="62" t="s">
        <v>1547</v>
      </c>
      <c r="I404" s="647">
        <v>0.75</v>
      </c>
      <c r="J404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404" s="593">
        <f>Таблица7[[#This Row],[Размер отряда минимум]]*1.25</f>
        <v>18.75</v>
      </c>
      <c r="L404" s="593">
        <f>Таблица7[[#This Row],[Размер отряда норма]]*1.5</f>
        <v>28.125</v>
      </c>
      <c r="M404" s="594">
        <f>Таблица7[[#This Row],[Размер отряда минимум]]*2.5</f>
        <v>37.5</v>
      </c>
      <c r="N404" s="594"/>
      <c r="O404" s="594"/>
      <c r="P404" s="594"/>
      <c r="Q404" s="594"/>
      <c r="R404" s="62" t="s">
        <v>29</v>
      </c>
      <c r="S404" s="900" t="s">
        <v>2543</v>
      </c>
      <c r="T404" s="533" t="s">
        <v>975</v>
      </c>
      <c r="U404" s="901" t="s">
        <v>1809</v>
      </c>
      <c r="V404" s="902" t="s">
        <v>2577</v>
      </c>
      <c r="W404" s="534" t="s">
        <v>1001</v>
      </c>
      <c r="X404" s="62" t="s">
        <v>1528</v>
      </c>
      <c r="Y404" s="62" t="s">
        <v>2024</v>
      </c>
      <c r="Z404" s="533" t="s">
        <v>1438</v>
      </c>
      <c r="AA404" s="900" t="s">
        <v>2037</v>
      </c>
      <c r="AD404" s="192" t="s">
        <v>1481</v>
      </c>
      <c r="AE404" s="192" t="s">
        <v>1978</v>
      </c>
      <c r="AF404" s="533" t="s">
        <v>985</v>
      </c>
      <c r="AG404" s="533"/>
      <c r="AH404" s="533" t="s">
        <v>985</v>
      </c>
      <c r="AI404" s="533"/>
      <c r="AJ404" s="534" t="s">
        <v>1004</v>
      </c>
      <c r="AK404" s="901" t="s">
        <v>1952</v>
      </c>
      <c r="AL404" s="535" t="s">
        <v>1163</v>
      </c>
      <c r="AM404" s="533" t="s">
        <v>977</v>
      </c>
      <c r="AN404" s="533" t="s">
        <v>999</v>
      </c>
      <c r="AO404" s="900" t="s">
        <v>2032</v>
      </c>
      <c r="AP404" s="533" t="s">
        <v>1653</v>
      </c>
      <c r="AQ404" s="900" t="s">
        <v>2580</v>
      </c>
      <c r="AS404" s="62">
        <v>1500</v>
      </c>
      <c r="AT404" s="63">
        <v>1565</v>
      </c>
      <c r="AU404" s="405">
        <v>6</v>
      </c>
      <c r="AV404" s="405"/>
      <c r="AW404" s="405">
        <f>VLOOKUP(Таблица7[[#This Row],[Основное оружие]], Оружие[#All], 2, 0)</f>
        <v>2</v>
      </c>
      <c r="AX404" s="405">
        <f>IF(ISBLANK(Таблица7[[#This Row],[Дополнительное оружие]]),"", VLOOKUP(Таблица7[[#This Row],[Дополнительное оружие]], Оружие[#All], 2, 0))</f>
        <v>3</v>
      </c>
      <c r="AY40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0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40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404" s="405">
        <f>VLOOKUP(Таблица7[[#This Row],[Основное оружие]], Оружие[#All], 3, 0)</f>
        <v>6</v>
      </c>
      <c r="BC404" s="405">
        <f>IF(ISBLANK(Таблица7[[#This Row],[Дополнительное оружие]]),"", VLOOKUP(Таблица7[[#This Row],[Дополнительное оружие]], Оружие[#All], 3, 0))</f>
        <v>3</v>
      </c>
      <c r="BD40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19</v>
      </c>
      <c r="BE40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4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0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0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4" s="405">
        <f>Таблица7[[#This Row],[Броня]]+Таблица7[[#This Row],[Щит]]+Таблица7[[#This Row],[навык защиты]]</f>
        <v>22</v>
      </c>
      <c r="BK404" s="1006"/>
      <c r="BL404" s="1006"/>
      <c r="BM404" s="379"/>
      <c r="BN404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04" s="379">
        <v>1</v>
      </c>
      <c r="BP404" s="379">
        <v>-2</v>
      </c>
      <c r="BQ404" s="379">
        <v>0</v>
      </c>
      <c r="BR404" s="379">
        <v>-4</v>
      </c>
      <c r="BS404" s="379">
        <v>-2</v>
      </c>
      <c r="BT404" s="379">
        <v>9</v>
      </c>
      <c r="BU404" s="975" t="s">
        <v>1576</v>
      </c>
      <c r="BV404" s="975" t="s">
        <v>1843</v>
      </c>
      <c r="BW404" s="379"/>
      <c r="BX404" s="379"/>
      <c r="BY404" s="379"/>
      <c r="BZ404" s="64"/>
    </row>
    <row r="405" spans="1:78" s="62" customFormat="1" ht="40.5" customHeight="1" x14ac:dyDescent="0.25">
      <c r="A405" s="333">
        <v>404</v>
      </c>
      <c r="B405" s="901" t="s">
        <v>1810</v>
      </c>
      <c r="C405" s="901" t="s">
        <v>2576</v>
      </c>
      <c r="D405" s="533" t="s">
        <v>1555</v>
      </c>
      <c r="E405" s="62" t="s">
        <v>1547</v>
      </c>
      <c r="I405" s="647">
        <v>0.75</v>
      </c>
      <c r="J405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405" s="593">
        <f>Таблица7[[#This Row],[Размер отряда минимум]]*1.25</f>
        <v>22.5</v>
      </c>
      <c r="L405" s="593">
        <f>Таблица7[[#This Row],[Размер отряда норма]]*1.5</f>
        <v>33.75</v>
      </c>
      <c r="M405" s="594">
        <f>Таблица7[[#This Row],[Размер отряда минимум]]*2.5</f>
        <v>45</v>
      </c>
      <c r="N405" s="594"/>
      <c r="O405" s="594"/>
      <c r="P405" s="594"/>
      <c r="Q405" s="594"/>
      <c r="R405" s="62" t="s">
        <v>29</v>
      </c>
      <c r="S405" s="900" t="s">
        <v>2543</v>
      </c>
      <c r="T405" s="533" t="s">
        <v>976</v>
      </c>
      <c r="U405" s="901" t="s">
        <v>1811</v>
      </c>
      <c r="V405" s="902" t="s">
        <v>2578</v>
      </c>
      <c r="W405" s="533" t="s">
        <v>1001</v>
      </c>
      <c r="X405" s="782" t="s">
        <v>1950</v>
      </c>
      <c r="Y405" s="62" t="s">
        <v>1949</v>
      </c>
      <c r="Z405" s="533" t="s">
        <v>1440</v>
      </c>
      <c r="AA405" s="900" t="s">
        <v>2020</v>
      </c>
      <c r="AD405" s="192" t="s">
        <v>1481</v>
      </c>
      <c r="AE405" s="192" t="s">
        <v>1978</v>
      </c>
      <c r="AF405" s="533" t="s">
        <v>985</v>
      </c>
      <c r="AG405" s="533"/>
      <c r="AH405" s="533" t="s">
        <v>985</v>
      </c>
      <c r="AI405" s="533"/>
      <c r="AJ405" s="534" t="s">
        <v>1005</v>
      </c>
      <c r="AK405" s="901" t="s">
        <v>2031</v>
      </c>
      <c r="AL405" s="535" t="s">
        <v>985</v>
      </c>
      <c r="AM405" s="533" t="s">
        <v>977</v>
      </c>
      <c r="AN405" s="533" t="s">
        <v>999</v>
      </c>
      <c r="AO405" s="900" t="s">
        <v>2032</v>
      </c>
      <c r="AP405" s="900" t="s">
        <v>2579</v>
      </c>
      <c r="AQ405" s="900" t="s">
        <v>2581</v>
      </c>
      <c r="AS405" s="62">
        <v>1565</v>
      </c>
      <c r="AT405" s="63"/>
      <c r="AU405" s="405">
        <v>6</v>
      </c>
      <c r="AV405" s="405" t="s">
        <v>1827</v>
      </c>
      <c r="AW405" s="405">
        <f>VLOOKUP(Таблица7[[#This Row],[Основное оружие]], Оружие[#All], 2, 0)</f>
        <v>0</v>
      </c>
      <c r="AX405" s="405">
        <f>IF(ISBLANK(Таблица7[[#This Row],[Дополнительное оружие]]),"", VLOOKUP(Таблица7[[#This Row],[Дополнительное оружие]], Оружие[#All], 2, 0))</f>
        <v>4</v>
      </c>
      <c r="AY40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0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0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05" s="405">
        <f>VLOOKUP(Таблица7[[#This Row],[Основное оружие]], Оружие[#All], 3, 0)</f>
        <v>1</v>
      </c>
      <c r="BC405" s="405">
        <f>IF(ISBLANK(Таблица7[[#This Row],[Дополнительное оружие]]),"", VLOOKUP(Таблица7[[#This Row],[Дополнительное оружие]], Оружие[#All], 3, 0))</f>
        <v>3</v>
      </c>
      <c r="BD40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40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5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40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0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5" s="405">
        <f>Таблица7[[#This Row],[Броня]]+Таблица7[[#This Row],[Щит]]+Таблица7[[#This Row],[навык защиты]]</f>
        <v>20</v>
      </c>
      <c r="BK405" s="1006"/>
      <c r="BL405" s="1006"/>
      <c r="BM405" s="379"/>
      <c r="BN405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05" s="379">
        <v>2</v>
      </c>
      <c r="BP405" s="379">
        <v>-2</v>
      </c>
      <c r="BQ405" s="379">
        <v>0</v>
      </c>
      <c r="BR405" s="379">
        <v>-4</v>
      </c>
      <c r="BS405" s="379">
        <v>-2</v>
      </c>
      <c r="BT405" s="379">
        <v>9</v>
      </c>
      <c r="BU405" s="975" t="s">
        <v>1576</v>
      </c>
      <c r="BV405" s="975" t="s">
        <v>1843</v>
      </c>
      <c r="BW405" s="379"/>
      <c r="BX405" s="379"/>
      <c r="BY405" s="379"/>
      <c r="BZ405" s="64"/>
    </row>
    <row r="406" spans="1:78" s="62" customFormat="1" ht="40.5" customHeight="1" x14ac:dyDescent="0.25">
      <c r="A406" s="333">
        <v>405</v>
      </c>
      <c r="B406" s="900" t="s">
        <v>1812</v>
      </c>
      <c r="C406" s="900" t="s">
        <v>2582</v>
      </c>
      <c r="D406" s="533" t="s">
        <v>1555</v>
      </c>
      <c r="E406" s="62" t="s">
        <v>1547</v>
      </c>
      <c r="I406" s="647">
        <v>0.5</v>
      </c>
      <c r="J406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406" s="593">
        <f>Таблица7[[#This Row],[Размер отряда минимум]]*1.25</f>
        <v>12.5</v>
      </c>
      <c r="L406" s="593">
        <f>Таблица7[[#This Row],[Размер отряда норма]]*1.5</f>
        <v>18.75</v>
      </c>
      <c r="M406" s="594">
        <f>Таблица7[[#This Row],[Размер отряда минимум]]*2.5</f>
        <v>25</v>
      </c>
      <c r="N406" s="594"/>
      <c r="O406" s="594"/>
      <c r="P406" s="594"/>
      <c r="Q406" s="594"/>
      <c r="R406" s="62" t="s">
        <v>29</v>
      </c>
      <c r="S406" s="900" t="s">
        <v>2543</v>
      </c>
      <c r="T406" s="533" t="s">
        <v>975</v>
      </c>
      <c r="U406" s="901" t="s">
        <v>1837</v>
      </c>
      <c r="V406" s="902" t="s">
        <v>2583</v>
      </c>
      <c r="W406" s="533" t="s">
        <v>1001</v>
      </c>
      <c r="X406" s="62" t="s">
        <v>1528</v>
      </c>
      <c r="Y406" s="62" t="s">
        <v>2024</v>
      </c>
      <c r="Z406" s="533" t="s">
        <v>1036</v>
      </c>
      <c r="AA406" s="900" t="s">
        <v>1929</v>
      </c>
      <c r="AD406" s="534" t="s">
        <v>1004</v>
      </c>
      <c r="AE406" s="901" t="s">
        <v>1952</v>
      </c>
      <c r="AF406" s="533" t="s">
        <v>985</v>
      </c>
      <c r="AG406" s="533"/>
      <c r="AH406" s="533" t="s">
        <v>985</v>
      </c>
      <c r="AI406" s="533"/>
      <c r="AJ406" s="534" t="s">
        <v>985</v>
      </c>
      <c r="AK406" s="534"/>
      <c r="AL406" s="535" t="s">
        <v>1163</v>
      </c>
      <c r="AM406" s="533" t="s">
        <v>935</v>
      </c>
      <c r="AN406" s="533" t="s">
        <v>952</v>
      </c>
      <c r="AO406" s="900" t="s">
        <v>1871</v>
      </c>
      <c r="AP406" s="900" t="s">
        <v>952</v>
      </c>
      <c r="AQ406" s="900" t="s">
        <v>1871</v>
      </c>
      <c r="AS406" s="62">
        <v>1500</v>
      </c>
      <c r="AT406" s="63">
        <v>1565</v>
      </c>
      <c r="AU406" s="405">
        <v>10</v>
      </c>
      <c r="AV406" s="405"/>
      <c r="AW406" s="405">
        <f>VLOOKUP(Таблица7[[#This Row],[Основное оружие]], Оружие[#All], 2, 0)</f>
        <v>2</v>
      </c>
      <c r="AX406" s="405">
        <f>IF(ISBLANK(Таблица7[[#This Row],[Дополнительное оружие]]),"", VLOOKUP(Таблица7[[#This Row],[Дополнительное оружие]], Оружие[#All], 2, 0))</f>
        <v>5</v>
      </c>
      <c r="AY40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0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40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406" s="405">
        <f>VLOOKUP(Таблица7[[#This Row],[Основное оружие]], Оружие[#All], 3, 0)</f>
        <v>6</v>
      </c>
      <c r="BC406" s="405">
        <f>IF(ISBLANK(Таблица7[[#This Row],[Дополнительное оружие]]),"", VLOOKUP(Таблица7[[#This Row],[Дополнительное оружие]], Оружие[#All], 3, 0))</f>
        <v>3</v>
      </c>
      <c r="BD40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22</v>
      </c>
      <c r="BE40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0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40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6" s="405">
        <f>Таблица7[[#This Row],[Броня]]+Таблица7[[#This Row],[Щит]]+Таблица7[[#This Row],[навык защиты]]</f>
        <v>29</v>
      </c>
      <c r="BK406" s="1006"/>
      <c r="BL406" s="1006"/>
      <c r="BM406" s="379"/>
      <c r="BN406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06" s="379">
        <v>2</v>
      </c>
      <c r="BP406" s="379">
        <v>-2</v>
      </c>
      <c r="BQ406" s="379">
        <v>0</v>
      </c>
      <c r="BR406" s="379">
        <v>-4</v>
      </c>
      <c r="BS406" s="379">
        <v>-2</v>
      </c>
      <c r="BT406" s="379">
        <v>11</v>
      </c>
      <c r="BU406" s="975" t="s">
        <v>1840</v>
      </c>
      <c r="BV406" s="975" t="s">
        <v>1844</v>
      </c>
      <c r="BW406" s="379"/>
      <c r="BX406" s="379"/>
      <c r="BY406" s="379"/>
      <c r="BZ406" s="64"/>
    </row>
    <row r="407" spans="1:78" s="62" customFormat="1" ht="40.5" customHeight="1" x14ac:dyDescent="0.25">
      <c r="A407" s="333">
        <v>406</v>
      </c>
      <c r="B407" s="680" t="s">
        <v>1812</v>
      </c>
      <c r="C407" s="900" t="s">
        <v>2582</v>
      </c>
      <c r="D407" s="533" t="s">
        <v>1555</v>
      </c>
      <c r="E407" s="62" t="s">
        <v>1547</v>
      </c>
      <c r="I407" s="647">
        <v>0.5</v>
      </c>
      <c r="J407" s="593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12</v>
      </c>
      <c r="K407" s="593">
        <f>Таблица7[[#This Row],[Размер отряда минимум]]*1.25</f>
        <v>15</v>
      </c>
      <c r="L407" s="593">
        <f>Таблица7[[#This Row],[Размер отряда норма]]*1.5</f>
        <v>22.5</v>
      </c>
      <c r="M407" s="594">
        <f>Таблица7[[#This Row],[Размер отряда минимум]]*2.5</f>
        <v>30</v>
      </c>
      <c r="N407" s="594"/>
      <c r="O407" s="594"/>
      <c r="P407" s="594"/>
      <c r="Q407" s="594"/>
      <c r="R407" s="62" t="s">
        <v>29</v>
      </c>
      <c r="S407" s="900" t="s">
        <v>2543</v>
      </c>
      <c r="T407" s="533" t="s">
        <v>976</v>
      </c>
      <c r="U407" s="681" t="s">
        <v>1838</v>
      </c>
      <c r="V407" s="902" t="s">
        <v>2584</v>
      </c>
      <c r="W407" s="533" t="s">
        <v>1001</v>
      </c>
      <c r="X407" s="782" t="s">
        <v>1950</v>
      </c>
      <c r="Y407" s="62" t="s">
        <v>1949</v>
      </c>
      <c r="Z407" s="533" t="s">
        <v>1440</v>
      </c>
      <c r="AA407" s="900" t="s">
        <v>2020</v>
      </c>
      <c r="AD407" s="534" t="s">
        <v>1005</v>
      </c>
      <c r="AE407" s="901" t="s">
        <v>2031</v>
      </c>
      <c r="AF407" s="533" t="s">
        <v>985</v>
      </c>
      <c r="AG407" s="533"/>
      <c r="AH407" s="533" t="s">
        <v>985</v>
      </c>
      <c r="AI407" s="533"/>
      <c r="AJ407" s="534" t="s">
        <v>985</v>
      </c>
      <c r="AK407" s="534"/>
      <c r="AL407" s="535" t="s">
        <v>985</v>
      </c>
      <c r="AM407" s="533" t="s">
        <v>935</v>
      </c>
      <c r="AN407" s="533" t="s">
        <v>952</v>
      </c>
      <c r="AO407" s="900" t="s">
        <v>1871</v>
      </c>
      <c r="AP407" s="900" t="s">
        <v>952</v>
      </c>
      <c r="AQ407" s="900" t="s">
        <v>1871</v>
      </c>
      <c r="AS407" s="62">
        <v>1565</v>
      </c>
      <c r="AT407" s="63"/>
      <c r="AU407" s="405">
        <v>10</v>
      </c>
      <c r="AV407" s="405" t="s">
        <v>1828</v>
      </c>
      <c r="AW407" s="405">
        <f>VLOOKUP(Таблица7[[#This Row],[Основное оружие]], Оружие[#All], 2, 0)</f>
        <v>0</v>
      </c>
      <c r="AX407" s="405">
        <f>IF(ISBLANK(Таблица7[[#This Row],[Дополнительное оружие]]),"", VLOOKUP(Таблица7[[#This Row],[Дополнительное оружие]], Оружие[#All], 2, 0))</f>
        <v>4</v>
      </c>
      <c r="AY40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0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0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07" s="405">
        <f>VLOOKUP(Таблица7[[#This Row],[Основное оружие]], Оружие[#All], 3, 0)</f>
        <v>1</v>
      </c>
      <c r="BC407" s="405">
        <f>IF(ISBLANK(Таблица7[[#This Row],[Дополнительное оружие]]),"", VLOOKUP(Таблица7[[#This Row],[Дополнительное оружие]], Оружие[#All], 3, 0))</f>
        <v>3</v>
      </c>
      <c r="BD40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40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0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40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7" s="405">
        <f>Таблица7[[#This Row],[Броня]]+Таблица7[[#This Row],[Щит]]+Таблица7[[#This Row],[навык защиты]]</f>
        <v>28</v>
      </c>
      <c r="BK407" s="1006"/>
      <c r="BL407" s="1006"/>
      <c r="BM407" s="379"/>
      <c r="BN407" s="97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07" s="379">
        <v>2</v>
      </c>
      <c r="BP407" s="379">
        <v>-2</v>
      </c>
      <c r="BQ407" s="379">
        <v>0</v>
      </c>
      <c r="BR407" s="379">
        <v>-4</v>
      </c>
      <c r="BS407" s="379">
        <v>-2</v>
      </c>
      <c r="BT407" s="379">
        <v>11</v>
      </c>
      <c r="BU407" s="975" t="s">
        <v>1840</v>
      </c>
      <c r="BV407" s="975" t="s">
        <v>1844</v>
      </c>
      <c r="BW407" s="379"/>
      <c r="BX407" s="379"/>
      <c r="BY407" s="379"/>
      <c r="BZ407" s="64"/>
    </row>
    <row r="408" spans="1:78" s="275" customFormat="1" ht="40.5" customHeight="1" x14ac:dyDescent="0.25">
      <c r="A408" s="333">
        <v>407</v>
      </c>
      <c r="B408" s="936" t="s">
        <v>2792</v>
      </c>
      <c r="C408" s="307"/>
      <c r="D408" s="274" t="s">
        <v>1556</v>
      </c>
      <c r="E408" s="274" t="s">
        <v>1560</v>
      </c>
      <c r="F408" s="274"/>
      <c r="G408" s="274"/>
      <c r="H408" s="274"/>
      <c r="I408" s="662">
        <v>1</v>
      </c>
      <c r="J408" s="62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408" s="629">
        <f>Таблица7[[#This Row],[Размер отряда минимум]]*1.25</f>
        <v>125</v>
      </c>
      <c r="L408" s="629">
        <f>Таблица7[[#This Row],[Размер отряда норма]]*1.5</f>
        <v>187.5</v>
      </c>
      <c r="M408" s="630">
        <f>Таблица7[[#This Row],[Размер отряда минимум]]*2.5</f>
        <v>250</v>
      </c>
      <c r="N408" s="630"/>
      <c r="O408" s="630"/>
      <c r="P408" s="630"/>
      <c r="Q408" s="630"/>
      <c r="R408" s="936" t="s">
        <v>2790</v>
      </c>
      <c r="S408" s="936" t="s">
        <v>2791</v>
      </c>
      <c r="T408" s="274" t="s">
        <v>1032</v>
      </c>
      <c r="U408" s="277" t="s">
        <v>1207</v>
      </c>
      <c r="V408" s="276"/>
      <c r="W408" s="274" t="s">
        <v>984</v>
      </c>
      <c r="X408" s="274" t="s">
        <v>1059</v>
      </c>
      <c r="Y408" s="274"/>
      <c r="Z408" s="274"/>
      <c r="AA408" s="274"/>
      <c r="AB408" s="274"/>
      <c r="AC408" s="274"/>
      <c r="AD408" s="277" t="s">
        <v>985</v>
      </c>
      <c r="AE408" s="277"/>
      <c r="AF408" s="274" t="s">
        <v>985</v>
      </c>
      <c r="AG408" s="274"/>
      <c r="AH408" s="274" t="s">
        <v>985</v>
      </c>
      <c r="AI408" s="274"/>
      <c r="AJ408" s="277" t="s">
        <v>985</v>
      </c>
      <c r="AK408" s="277"/>
      <c r="AL408" s="278" t="s">
        <v>985</v>
      </c>
      <c r="AM408" s="274" t="s">
        <v>935</v>
      </c>
      <c r="AN408" s="274" t="s">
        <v>955</v>
      </c>
      <c r="AO408" s="274"/>
      <c r="AP408" s="274" t="s">
        <v>1132</v>
      </c>
      <c r="AQ408" s="274"/>
      <c r="AS408" s="275">
        <v>1500</v>
      </c>
      <c r="AT408" s="279"/>
      <c r="AU408" s="405">
        <v>1</v>
      </c>
      <c r="AV408" s="405"/>
      <c r="AW408" s="405">
        <f>VLOOKUP(Таблица7[[#This Row],[Основное оружие]], Оружие[#All], 2, 0)</f>
        <v>2</v>
      </c>
      <c r="AX408" s="405" t="str">
        <f>IF(ISBLANK(Таблица7[[#This Row],[Дополнительное оружие]]),"", VLOOKUP(Таблица7[[#This Row],[Дополнительное оружие]], Оружие[#All], 2, 0))</f>
        <v/>
      </c>
      <c r="AY40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40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40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08" s="405">
        <f>VLOOKUP(Таблица7[[#This Row],[Основное оружие]], Оружие[#All], 3, 0)</f>
        <v>3</v>
      </c>
      <c r="BC408" s="405" t="str">
        <f>IF(ISBLANK(Таблица7[[#This Row],[Дополнительное оружие]]),"", VLOOKUP(Таблица7[[#This Row],[Дополнительное оружие]], Оружие[#All], 3, 0))</f>
        <v/>
      </c>
      <c r="BD40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0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0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0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40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8" s="405">
        <f>Таблица7[[#This Row],[Броня]]+Таблица7[[#This Row],[Щит]]+Таблица7[[#This Row],[навык защиты]]</f>
        <v>3</v>
      </c>
      <c r="BK408" s="1006"/>
      <c r="BL408" s="1006"/>
      <c r="BM408" s="398"/>
      <c r="BN408" s="99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08" s="398">
        <v>1</v>
      </c>
      <c r="BP408" s="398">
        <v>0</v>
      </c>
      <c r="BQ408" s="398">
        <v>0</v>
      </c>
      <c r="BR408" s="398">
        <v>-1</v>
      </c>
      <c r="BS408" s="398">
        <v>0</v>
      </c>
      <c r="BT408" s="398">
        <v>2</v>
      </c>
      <c r="BU408" s="999" t="s">
        <v>1839</v>
      </c>
      <c r="BV408" s="999" t="s">
        <v>1842</v>
      </c>
      <c r="BW408" s="398"/>
      <c r="BX408" s="398"/>
      <c r="BY408" s="398"/>
      <c r="BZ408" s="280"/>
    </row>
    <row r="409" spans="1:78" s="275" customFormat="1" ht="40.5" customHeight="1" x14ac:dyDescent="0.25">
      <c r="A409" s="333">
        <v>408</v>
      </c>
      <c r="B409" s="936" t="s">
        <v>2793</v>
      </c>
      <c r="C409" s="307"/>
      <c r="D409" s="274" t="s">
        <v>1556</v>
      </c>
      <c r="E409" s="274" t="s">
        <v>1570</v>
      </c>
      <c r="F409" s="274"/>
      <c r="G409" s="274"/>
      <c r="H409" s="274"/>
      <c r="I409" s="662">
        <v>0.75</v>
      </c>
      <c r="J409" s="62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09" s="629">
        <f>Таблица7[[#This Row],[Размер отряда минимум]]*1.25</f>
        <v>93.75</v>
      </c>
      <c r="L409" s="629">
        <f>Таблица7[[#This Row],[Размер отряда норма]]*1.5</f>
        <v>140.625</v>
      </c>
      <c r="M409" s="630">
        <f>Таблица7[[#This Row],[Размер отряда минимум]]*2.5</f>
        <v>187.5</v>
      </c>
      <c r="N409" s="630"/>
      <c r="O409" s="630"/>
      <c r="P409" s="630"/>
      <c r="Q409" s="630"/>
      <c r="R409" s="936" t="s">
        <v>2790</v>
      </c>
      <c r="S409" s="936" t="s">
        <v>2791</v>
      </c>
      <c r="T409" s="274" t="s">
        <v>1032</v>
      </c>
      <c r="U409" s="277" t="s">
        <v>1074</v>
      </c>
      <c r="V409" s="276"/>
      <c r="W409" s="274" t="s">
        <v>984</v>
      </c>
      <c r="X409" s="274" t="s">
        <v>1688</v>
      </c>
      <c r="Y409" s="274"/>
      <c r="Z409" s="274" t="s">
        <v>1441</v>
      </c>
      <c r="AA409" s="274"/>
      <c r="AB409" s="274"/>
      <c r="AC409" s="274"/>
      <c r="AD409" s="277" t="s">
        <v>985</v>
      </c>
      <c r="AE409" s="277"/>
      <c r="AF409" s="274" t="s">
        <v>1553</v>
      </c>
      <c r="AG409" s="274"/>
      <c r="AH409" s="274" t="s">
        <v>985</v>
      </c>
      <c r="AI409" s="274"/>
      <c r="AJ409" s="277" t="s">
        <v>985</v>
      </c>
      <c r="AK409" s="277"/>
      <c r="AL409" s="278" t="s">
        <v>985</v>
      </c>
      <c r="AM409" s="274" t="s">
        <v>935</v>
      </c>
      <c r="AN409" s="274" t="s">
        <v>992</v>
      </c>
      <c r="AO409" s="274"/>
      <c r="AP409" s="274" t="s">
        <v>1132</v>
      </c>
      <c r="AQ409" s="274"/>
      <c r="AS409" s="275">
        <v>1500</v>
      </c>
      <c r="AT409" s="279"/>
      <c r="AU409" s="405">
        <v>5</v>
      </c>
      <c r="AV409" s="405" t="s">
        <v>1828</v>
      </c>
      <c r="AW409" s="405">
        <f>VLOOKUP(Таблица7[[#This Row],[Основное оружие]], Оружие[#All], 2, 0)</f>
        <v>0</v>
      </c>
      <c r="AX409" s="405">
        <f>IF(ISBLANK(Таблица7[[#This Row],[Дополнительное оружие]]),"", VLOOKUP(Таблица7[[#This Row],[Дополнительное оружие]], Оружие[#All], 2, 0))</f>
        <v>4</v>
      </c>
      <c r="AY40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0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0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09" s="405">
        <f>VLOOKUP(Таблица7[[#This Row],[Основное оружие]], Оружие[#All], 3, 0)</f>
        <v>1</v>
      </c>
      <c r="BC409" s="405">
        <f>IF(ISBLANK(Таблица7[[#This Row],[Дополнительное оружие]]),"", VLOOKUP(Таблица7[[#This Row],[Дополнительное оружие]], Оружие[#All], 3, 0))</f>
        <v>3</v>
      </c>
      <c r="BD40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0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</v>
      </c>
      <c r="BF40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0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0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0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09" s="405">
        <f>Таблица7[[#This Row],[Броня]]+Таблица7[[#This Row],[Щит]]+Таблица7[[#This Row],[навык защиты]]</f>
        <v>7</v>
      </c>
      <c r="BK409" s="1006"/>
      <c r="BL409" s="1006"/>
      <c r="BM409" s="398"/>
      <c r="BN409" s="99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09" s="398">
        <v>1</v>
      </c>
      <c r="BP409" s="398">
        <v>1</v>
      </c>
      <c r="BQ409" s="398">
        <v>0</v>
      </c>
      <c r="BR409" s="398">
        <v>2</v>
      </c>
      <c r="BS409" s="398">
        <v>0</v>
      </c>
      <c r="BT409" s="398">
        <v>7</v>
      </c>
      <c r="BU409" s="999" t="s">
        <v>1576</v>
      </c>
      <c r="BV409" s="999" t="s">
        <v>1842</v>
      </c>
      <c r="BW409" s="398"/>
      <c r="BX409" s="398"/>
      <c r="BY409" s="398"/>
      <c r="BZ409" s="280"/>
    </row>
    <row r="410" spans="1:78" s="275" customFormat="1" ht="40.5" customHeight="1" x14ac:dyDescent="0.25">
      <c r="A410" s="333">
        <v>409</v>
      </c>
      <c r="B410" s="936" t="s">
        <v>2794</v>
      </c>
      <c r="C410" s="307"/>
      <c r="D410" s="274" t="s">
        <v>1556</v>
      </c>
      <c r="E410" s="274" t="s">
        <v>1570</v>
      </c>
      <c r="F410" s="274"/>
      <c r="G410" s="274"/>
      <c r="H410" s="274"/>
      <c r="I410" s="662">
        <v>0.75</v>
      </c>
      <c r="J410" s="62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10" s="629">
        <f>Таблица7[[#This Row],[Размер отряда минимум]]*1.25</f>
        <v>93.75</v>
      </c>
      <c r="L410" s="629">
        <f>Таблица7[[#This Row],[Размер отряда норма]]*1.5</f>
        <v>140.625</v>
      </c>
      <c r="M410" s="630">
        <f>Таблица7[[#This Row],[Размер отряда минимум]]*2.5</f>
        <v>187.5</v>
      </c>
      <c r="N410" s="630"/>
      <c r="O410" s="630"/>
      <c r="P410" s="630"/>
      <c r="Q410" s="630"/>
      <c r="R410" s="936" t="s">
        <v>2790</v>
      </c>
      <c r="S410" s="936" t="s">
        <v>2791</v>
      </c>
      <c r="T410" s="274" t="s">
        <v>976</v>
      </c>
      <c r="U410" s="754" t="s">
        <v>1541</v>
      </c>
      <c r="V410" s="451"/>
      <c r="W410" s="274" t="s">
        <v>984</v>
      </c>
      <c r="X410" s="274" t="s">
        <v>1689</v>
      </c>
      <c r="Y410" s="274"/>
      <c r="Z410" s="274" t="s">
        <v>1441</v>
      </c>
      <c r="AA410" s="274"/>
      <c r="AB410" s="274"/>
      <c r="AC410" s="274"/>
      <c r="AD410" s="277" t="s">
        <v>985</v>
      </c>
      <c r="AE410" s="277"/>
      <c r="AF410" s="274" t="s">
        <v>1553</v>
      </c>
      <c r="AG410" s="274"/>
      <c r="AH410" s="274" t="s">
        <v>985</v>
      </c>
      <c r="AI410" s="274"/>
      <c r="AJ410" s="277" t="s">
        <v>985</v>
      </c>
      <c r="AK410" s="277"/>
      <c r="AL410" s="278" t="s">
        <v>985</v>
      </c>
      <c r="AM410" s="274" t="s">
        <v>977</v>
      </c>
      <c r="AN410" s="274" t="s">
        <v>997</v>
      </c>
      <c r="AO410" s="274"/>
      <c r="AP410" s="274" t="s">
        <v>1132</v>
      </c>
      <c r="AQ410" s="274"/>
      <c r="AS410" s="275">
        <v>1530</v>
      </c>
      <c r="AT410" s="279"/>
      <c r="AU410" s="405">
        <v>8</v>
      </c>
      <c r="AV410" s="405" t="s">
        <v>1828</v>
      </c>
      <c r="AW410" s="405">
        <f>VLOOKUP(Таблица7[[#This Row],[Основное оружие]], Оружие[#All], 2, 0)</f>
        <v>0</v>
      </c>
      <c r="AX410" s="405">
        <f>IF(ISBLANK(Таблица7[[#This Row],[Дополнительное оружие]]),"", VLOOKUP(Таблица7[[#This Row],[Дополнительное оружие]], Оружие[#All], 2, 0))</f>
        <v>4</v>
      </c>
      <c r="AY41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41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1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410" s="405">
        <f>VLOOKUP(Таблица7[[#This Row],[Основное оружие]], Оружие[#All], 3, 0)</f>
        <v>1</v>
      </c>
      <c r="BC410" s="405">
        <f>IF(ISBLANK(Таблица7[[#This Row],[Дополнительное оружие]]),"", VLOOKUP(Таблица7[[#This Row],[Дополнительное оружие]], Оружие[#All], 3, 0))</f>
        <v>3</v>
      </c>
      <c r="BD41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1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</v>
      </c>
      <c r="BF41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41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0" s="405">
        <f>Таблица7[[#This Row],[Броня]]+Таблица7[[#This Row],[Щит]]+Таблица7[[#This Row],[навык защиты]]</f>
        <v>10</v>
      </c>
      <c r="BK410" s="1006"/>
      <c r="BL410" s="1006"/>
      <c r="BM410" s="398"/>
      <c r="BN410" s="99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10" s="398">
        <v>1</v>
      </c>
      <c r="BP410" s="398">
        <v>1</v>
      </c>
      <c r="BQ410" s="398">
        <v>0</v>
      </c>
      <c r="BR410" s="398">
        <v>2</v>
      </c>
      <c r="BS410" s="398">
        <v>0</v>
      </c>
      <c r="BT410" s="398">
        <v>11</v>
      </c>
      <c r="BU410" s="999" t="s">
        <v>1841</v>
      </c>
      <c r="BV410" s="999" t="s">
        <v>1842</v>
      </c>
      <c r="BW410" s="398"/>
      <c r="BX410" s="398"/>
      <c r="BY410" s="398"/>
      <c r="BZ410" s="280"/>
    </row>
    <row r="411" spans="1:78" s="275" customFormat="1" ht="40.5" customHeight="1" x14ac:dyDescent="0.25">
      <c r="A411" s="333">
        <v>410</v>
      </c>
      <c r="B411" s="936" t="s">
        <v>2795</v>
      </c>
      <c r="C411" s="309"/>
      <c r="D411" s="274" t="s">
        <v>1556</v>
      </c>
      <c r="E411" s="274" t="s">
        <v>1570</v>
      </c>
      <c r="F411" s="274"/>
      <c r="G411" s="274"/>
      <c r="H411" s="274"/>
      <c r="I411" s="662">
        <v>0.75</v>
      </c>
      <c r="J411" s="62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11" s="629">
        <f>Таблица7[[#This Row],[Размер отряда минимум]]*1.25</f>
        <v>93.75</v>
      </c>
      <c r="L411" s="629">
        <f>Таблица7[[#This Row],[Размер отряда норма]]*1.5</f>
        <v>140.625</v>
      </c>
      <c r="M411" s="630">
        <f>Таблица7[[#This Row],[Размер отряда минимум]]*2.5</f>
        <v>187.5</v>
      </c>
      <c r="N411" s="630"/>
      <c r="O411" s="630"/>
      <c r="P411" s="630"/>
      <c r="Q411" s="630"/>
      <c r="R411" s="936" t="s">
        <v>2790</v>
      </c>
      <c r="S411" s="936" t="s">
        <v>2791</v>
      </c>
      <c r="T411" s="274" t="s">
        <v>976</v>
      </c>
      <c r="U411" s="277" t="s">
        <v>1040</v>
      </c>
      <c r="V411" s="276"/>
      <c r="W411" s="274" t="s">
        <v>1001</v>
      </c>
      <c r="X411" s="331" t="s">
        <v>1469</v>
      </c>
      <c r="Y411" s="331"/>
      <c r="Z411" s="331" t="s">
        <v>1441</v>
      </c>
      <c r="AA411" s="331"/>
      <c r="AB411" s="331"/>
      <c r="AC411" s="331"/>
      <c r="AD411" s="277" t="s">
        <v>1027</v>
      </c>
      <c r="AE411" s="277"/>
      <c r="AF411" s="274" t="s">
        <v>1202</v>
      </c>
      <c r="AG411" s="274"/>
      <c r="AH411" s="274" t="s">
        <v>985</v>
      </c>
      <c r="AI411" s="274"/>
      <c r="AJ411" s="277" t="s">
        <v>985</v>
      </c>
      <c r="AK411" s="277"/>
      <c r="AL411" s="278" t="s">
        <v>985</v>
      </c>
      <c r="AM411" s="274" t="s">
        <v>977</v>
      </c>
      <c r="AN411" s="274" t="s">
        <v>997</v>
      </c>
      <c r="AO411" s="274"/>
      <c r="AP411" s="274" t="s">
        <v>1132</v>
      </c>
      <c r="AQ411" s="274"/>
      <c r="AS411" s="275">
        <v>1530</v>
      </c>
      <c r="AT411" s="279"/>
      <c r="AU411" s="405">
        <v>6</v>
      </c>
      <c r="AV411" s="405" t="s">
        <v>1828</v>
      </c>
      <c r="AW411" s="405">
        <f>VLOOKUP(Таблица7[[#This Row],[Основное оружие]], Оружие[#All], 2, 0)</f>
        <v>0</v>
      </c>
      <c r="AX411" s="405">
        <f>IF(ISBLANK(Таблица7[[#This Row],[Дополнительное оружие]]),"", VLOOKUP(Таблица7[[#This Row],[Дополнительное оружие]], Оружие[#All], 2, 0))</f>
        <v>4</v>
      </c>
      <c r="AY41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41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1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411" s="405">
        <f>VLOOKUP(Таблица7[[#This Row],[Основное оружие]], Оружие[#All], 3, 0)</f>
        <v>1</v>
      </c>
      <c r="BC411" s="405">
        <f>IF(ISBLANK(Таблица7[[#This Row],[Дополнительное оружие]]),"", VLOOKUP(Таблица7[[#This Row],[Дополнительное оружие]], Оружие[#All], 3, 0))</f>
        <v>3</v>
      </c>
      <c r="BD41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41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10</v>
      </c>
      <c r="BF41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41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1" s="405">
        <f>Таблица7[[#This Row],[Броня]]+Таблица7[[#This Row],[Щит]]+Таблица7[[#This Row],[навык защиты]]</f>
        <v>15</v>
      </c>
      <c r="BK411" s="1006"/>
      <c r="BL411" s="1006"/>
      <c r="BM411" s="398"/>
      <c r="BN411" s="99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11" s="398">
        <v>1</v>
      </c>
      <c r="BP411" s="398">
        <v>1</v>
      </c>
      <c r="BQ411" s="398">
        <v>0</v>
      </c>
      <c r="BR411" s="398">
        <v>2</v>
      </c>
      <c r="BS411" s="398">
        <v>0</v>
      </c>
      <c r="BT411" s="398">
        <v>8</v>
      </c>
      <c r="BU411" s="999" t="s">
        <v>1841</v>
      </c>
      <c r="BV411" s="999" t="s">
        <v>1842</v>
      </c>
      <c r="BW411" s="398"/>
      <c r="BX411" s="398"/>
      <c r="BY411" s="398"/>
      <c r="BZ411" s="280"/>
    </row>
    <row r="412" spans="1:78" s="275" customFormat="1" ht="40.5" customHeight="1" x14ac:dyDescent="0.25">
      <c r="A412" s="333">
        <v>411</v>
      </c>
      <c r="B412" s="307"/>
      <c r="C412" s="307"/>
      <c r="D412" s="274" t="s">
        <v>1555</v>
      </c>
      <c r="E412" s="274" t="s">
        <v>1570</v>
      </c>
      <c r="F412" s="274"/>
      <c r="G412" s="274"/>
      <c r="H412" s="274"/>
      <c r="I412" s="662">
        <v>0.9</v>
      </c>
      <c r="J412" s="62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412" s="629">
        <f>Таблица7[[#This Row],[Размер отряда минимум]]*1.25</f>
        <v>45</v>
      </c>
      <c r="L412" s="629">
        <f>Таблица7[[#This Row],[Размер отряда норма]]*1.5</f>
        <v>67.5</v>
      </c>
      <c r="M412" s="630">
        <f>Таблица7[[#This Row],[Размер отряда минимум]]*2.5</f>
        <v>90</v>
      </c>
      <c r="N412" s="630"/>
      <c r="O412" s="630"/>
      <c r="P412" s="630"/>
      <c r="Q412" s="630"/>
      <c r="R412" s="936" t="s">
        <v>2790</v>
      </c>
      <c r="S412" s="936" t="s">
        <v>2791</v>
      </c>
      <c r="T412" s="274" t="s">
        <v>1032</v>
      </c>
      <c r="U412" s="277" t="s">
        <v>1190</v>
      </c>
      <c r="V412" s="276"/>
      <c r="W412" s="277" t="s">
        <v>984</v>
      </c>
      <c r="X412" s="274" t="s">
        <v>1688</v>
      </c>
      <c r="Y412" s="274"/>
      <c r="Z412" s="274" t="s">
        <v>1441</v>
      </c>
      <c r="AA412" s="274"/>
      <c r="AB412" s="274"/>
      <c r="AC412" s="274"/>
      <c r="AD412" s="277" t="s">
        <v>985</v>
      </c>
      <c r="AE412" s="277"/>
      <c r="AF412" s="274" t="s">
        <v>985</v>
      </c>
      <c r="AG412" s="274"/>
      <c r="AH412" s="274" t="s">
        <v>985</v>
      </c>
      <c r="AI412" s="274"/>
      <c r="AJ412" s="277" t="s">
        <v>985</v>
      </c>
      <c r="AK412" s="277"/>
      <c r="AL412" s="278" t="s">
        <v>985</v>
      </c>
      <c r="AM412" s="274" t="s">
        <v>977</v>
      </c>
      <c r="AN412" s="274" t="s">
        <v>999</v>
      </c>
      <c r="AO412" s="274"/>
      <c r="AP412" s="274" t="s">
        <v>1132</v>
      </c>
      <c r="AQ412" s="274"/>
      <c r="AS412" s="275">
        <v>1500</v>
      </c>
      <c r="AT412" s="279"/>
      <c r="AU412" s="405">
        <v>7</v>
      </c>
      <c r="AV412" s="405" t="s">
        <v>1828</v>
      </c>
      <c r="AW412" s="405">
        <f>VLOOKUP(Таблица7[[#This Row],[Основное оружие]], Оружие[#All], 2, 0)</f>
        <v>0</v>
      </c>
      <c r="AX412" s="405">
        <f>IF(ISBLANK(Таблица7[[#This Row],[Дополнительное оружие]]),"", VLOOKUP(Таблица7[[#This Row],[Дополнительное оружие]], Оружие[#All], 2, 0))</f>
        <v>4</v>
      </c>
      <c r="AY41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1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1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12" s="405">
        <f>VLOOKUP(Таблица7[[#This Row],[Основное оружие]], Оружие[#All], 3, 0)</f>
        <v>1</v>
      </c>
      <c r="BC412" s="405">
        <f>IF(ISBLANK(Таблица7[[#This Row],[Дополнительное оружие]]),"", VLOOKUP(Таблица7[[#This Row],[Дополнительное оружие]], Оружие[#All], 3, 0))</f>
        <v>3</v>
      </c>
      <c r="BD41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1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1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1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2" s="405">
        <f>Таблица7[[#This Row],[Броня]]+Таблица7[[#This Row],[Щит]]+Таблица7[[#This Row],[навык защиты]]</f>
        <v>7</v>
      </c>
      <c r="BK412" s="1006"/>
      <c r="BL412" s="1006"/>
      <c r="BM412" s="398"/>
      <c r="BN412" s="99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12" s="398">
        <v>1</v>
      </c>
      <c r="BP412" s="398">
        <v>-2</v>
      </c>
      <c r="BQ412" s="398">
        <v>0</v>
      </c>
      <c r="BR412" s="398">
        <v>-4</v>
      </c>
      <c r="BS412" s="398">
        <v>-2</v>
      </c>
      <c r="BT412" s="398">
        <v>10</v>
      </c>
      <c r="BU412" s="999" t="s">
        <v>1576</v>
      </c>
      <c r="BV412" s="999" t="s">
        <v>1842</v>
      </c>
      <c r="BW412" s="398"/>
      <c r="BX412" s="398"/>
      <c r="BY412" s="398"/>
      <c r="BZ412" s="280"/>
    </row>
    <row r="413" spans="1:78" s="275" customFormat="1" ht="40.5" customHeight="1" x14ac:dyDescent="0.25">
      <c r="A413" s="333">
        <v>412</v>
      </c>
      <c r="B413" s="936" t="s">
        <v>2796</v>
      </c>
      <c r="C413" s="307"/>
      <c r="D413" s="274" t="s">
        <v>1555</v>
      </c>
      <c r="E413" s="274" t="s">
        <v>1570</v>
      </c>
      <c r="F413" s="274"/>
      <c r="G413" s="274"/>
      <c r="H413" s="274"/>
      <c r="I413" s="662">
        <v>0.9</v>
      </c>
      <c r="J413" s="62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413" s="629">
        <f>Таблица7[[#This Row],[Размер отряда минимум]]*1.25</f>
        <v>45</v>
      </c>
      <c r="L413" s="629">
        <f>Таблица7[[#This Row],[Размер отряда норма]]*1.5</f>
        <v>67.5</v>
      </c>
      <c r="M413" s="630">
        <f>Таблица7[[#This Row],[Размер отряда минимум]]*2.5</f>
        <v>90</v>
      </c>
      <c r="N413" s="630"/>
      <c r="O413" s="630"/>
      <c r="P413" s="630"/>
      <c r="Q413" s="630"/>
      <c r="R413" s="936" t="s">
        <v>2790</v>
      </c>
      <c r="S413" s="936" t="s">
        <v>2791</v>
      </c>
      <c r="T413" s="274" t="s">
        <v>976</v>
      </c>
      <c r="U413" s="755" t="s">
        <v>1149</v>
      </c>
      <c r="V413" s="311"/>
      <c r="W413" s="277" t="s">
        <v>984</v>
      </c>
      <c r="X413" s="274" t="s">
        <v>1469</v>
      </c>
      <c r="Y413" s="274"/>
      <c r="Z413" s="274" t="s">
        <v>1441</v>
      </c>
      <c r="AA413" s="274"/>
      <c r="AB413" s="274"/>
      <c r="AC413" s="274"/>
      <c r="AD413" s="277" t="s">
        <v>985</v>
      </c>
      <c r="AE413" s="277"/>
      <c r="AF413" s="274" t="s">
        <v>985</v>
      </c>
      <c r="AG413" s="274"/>
      <c r="AH413" s="274" t="s">
        <v>985</v>
      </c>
      <c r="AI413" s="274"/>
      <c r="AJ413" s="277" t="s">
        <v>985</v>
      </c>
      <c r="AK413" s="277"/>
      <c r="AL413" s="278" t="s">
        <v>985</v>
      </c>
      <c r="AM413" s="274" t="s">
        <v>977</v>
      </c>
      <c r="AN413" s="274" t="s">
        <v>999</v>
      </c>
      <c r="AO413" s="274"/>
      <c r="AP413" s="274" t="s">
        <v>1132</v>
      </c>
      <c r="AQ413" s="274"/>
      <c r="AS413" s="275">
        <v>1530</v>
      </c>
      <c r="AT413" s="279"/>
      <c r="AU413" s="405">
        <v>7</v>
      </c>
      <c r="AV413" s="405" t="s">
        <v>1828</v>
      </c>
      <c r="AW413" s="405">
        <f>VLOOKUP(Таблица7[[#This Row],[Основное оружие]], Оружие[#All], 2, 0)</f>
        <v>0</v>
      </c>
      <c r="AX413" s="405">
        <f>IF(ISBLANK(Таблица7[[#This Row],[Дополнительное оружие]]),"", VLOOKUP(Таблица7[[#This Row],[Дополнительное оружие]], Оружие[#All], 2, 0))</f>
        <v>4</v>
      </c>
      <c r="AY41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1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1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13" s="405">
        <f>VLOOKUP(Таблица7[[#This Row],[Основное оружие]], Оружие[#All], 3, 0)</f>
        <v>1</v>
      </c>
      <c r="BC413" s="405">
        <f>IF(ISBLANK(Таблица7[[#This Row],[Дополнительное оружие]]),"", VLOOKUP(Таблица7[[#This Row],[Дополнительное оружие]], Оружие[#All], 3, 0))</f>
        <v>3</v>
      </c>
      <c r="BD41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1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1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1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3" s="405">
        <f>Таблица7[[#This Row],[Броня]]+Таблица7[[#This Row],[Щит]]+Таблица7[[#This Row],[навык защиты]]</f>
        <v>7</v>
      </c>
      <c r="BK413" s="1006"/>
      <c r="BL413" s="1006"/>
      <c r="BM413" s="398"/>
      <c r="BN413" s="99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13" s="398">
        <v>1</v>
      </c>
      <c r="BP413" s="398">
        <v>-2</v>
      </c>
      <c r="BQ413" s="398">
        <v>0</v>
      </c>
      <c r="BR413" s="398">
        <v>-4</v>
      </c>
      <c r="BS413" s="398">
        <v>-2</v>
      </c>
      <c r="BT413" s="398">
        <v>10</v>
      </c>
      <c r="BU413" s="999" t="s">
        <v>1576</v>
      </c>
      <c r="BV413" s="999" t="s">
        <v>1842</v>
      </c>
      <c r="BW413" s="398"/>
      <c r="BX413" s="398"/>
      <c r="BY413" s="398"/>
      <c r="BZ413" s="280"/>
    </row>
    <row r="414" spans="1:78" s="307" customFormat="1" ht="40.5" customHeight="1" x14ac:dyDescent="0.25">
      <c r="A414" s="333">
        <v>413</v>
      </c>
      <c r="B414" s="936" t="s">
        <v>2797</v>
      </c>
      <c r="D414" s="307" t="s">
        <v>1548</v>
      </c>
      <c r="E414" s="307" t="s">
        <v>1570</v>
      </c>
      <c r="I414" s="662"/>
      <c r="J414" s="62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0</v>
      </c>
      <c r="K414" s="629">
        <f>Таблица7[[#This Row],[Размер отряда минимум]]*1.25</f>
        <v>0</v>
      </c>
      <c r="L414" s="629">
        <f>Таблица7[[#This Row],[Размер отряда норма]]*1.5</f>
        <v>0</v>
      </c>
      <c r="M414" s="630">
        <f>Таблица7[[#This Row],[Размер отряда минимум]]*2.5</f>
        <v>0</v>
      </c>
      <c r="N414" s="630"/>
      <c r="O414" s="630"/>
      <c r="P414" s="630"/>
      <c r="Q414" s="630"/>
      <c r="R414" s="936" t="s">
        <v>2790</v>
      </c>
      <c r="S414" s="936" t="s">
        <v>2791</v>
      </c>
      <c r="T414" s="274" t="s">
        <v>1032</v>
      </c>
      <c r="U414" s="756" t="s">
        <v>1704</v>
      </c>
      <c r="V414" s="563"/>
      <c r="W414" s="536" t="s">
        <v>1001</v>
      </c>
      <c r="X414" s="536" t="s">
        <v>1055</v>
      </c>
      <c r="Y414" s="536"/>
      <c r="AD414" s="804" t="s">
        <v>985</v>
      </c>
      <c r="AE414" s="804"/>
      <c r="AF414" s="274" t="s">
        <v>1033</v>
      </c>
      <c r="AG414" s="274"/>
      <c r="AH414" s="274" t="s">
        <v>985</v>
      </c>
      <c r="AI414" s="274"/>
      <c r="AJ414" s="277" t="s">
        <v>985</v>
      </c>
      <c r="AK414" s="277"/>
      <c r="AL414" s="278" t="s">
        <v>985</v>
      </c>
      <c r="AM414" s="274" t="s">
        <v>977</v>
      </c>
      <c r="AN414" s="536" t="s">
        <v>979</v>
      </c>
      <c r="AO414" s="536"/>
      <c r="AP414" s="274" t="s">
        <v>1132</v>
      </c>
      <c r="AQ414" s="274"/>
      <c r="AS414" s="307">
        <v>1500</v>
      </c>
      <c r="AT414" s="279"/>
      <c r="AU414" s="405">
        <v>1</v>
      </c>
      <c r="AV414" s="405" t="s">
        <v>1827</v>
      </c>
      <c r="AW414" s="405">
        <f>VLOOKUP(Таблица7[[#This Row],[Основное оружие]], Оружие[#All], 2, 0)</f>
        <v>0</v>
      </c>
      <c r="AX414" s="405" t="str">
        <f>IF(ISBLANK(Таблица7[[#This Row],[Дополнительное оружие]]),"", VLOOKUP(Таблица7[[#This Row],[Дополнительное оружие]], Оружие[#All], 2, 0))</f>
        <v/>
      </c>
      <c r="AY41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41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1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14" s="405">
        <f>VLOOKUP(Таблица7[[#This Row],[Основное оружие]], Оружие[#All], 3, 0)</f>
        <v>1</v>
      </c>
      <c r="BC414" s="405" t="str">
        <f>IF(ISBLANK(Таблица7[[#This Row],[Дополнительное оружие]]),"", VLOOKUP(Таблица7[[#This Row],[Дополнительное оружие]], Оружие[#All], 3, 0))</f>
        <v/>
      </c>
      <c r="BD41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1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</v>
      </c>
      <c r="BF41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41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4" s="405">
        <f>Таблица7[[#This Row],[Броня]]+Таблица7[[#This Row],[Щит]]+Таблица7[[#This Row],[навык защиты]]</f>
        <v>3</v>
      </c>
      <c r="BK414" s="1000"/>
      <c r="BL414" s="1000"/>
      <c r="BN414" s="1000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14" s="549">
        <v>1</v>
      </c>
      <c r="BP414" s="549">
        <v>-1</v>
      </c>
      <c r="BQ414" s="549">
        <v>-2</v>
      </c>
      <c r="BR414" s="549">
        <v>-2</v>
      </c>
      <c r="BS414" s="549">
        <v>-2</v>
      </c>
      <c r="BT414" s="549">
        <v>10</v>
      </c>
      <c r="BU414" s="1000" t="s">
        <v>1576</v>
      </c>
      <c r="BV414" s="999" t="s">
        <v>1843</v>
      </c>
    </row>
    <row r="415" spans="1:78" s="275" customFormat="1" ht="40.5" customHeight="1" x14ac:dyDescent="0.25">
      <c r="A415" s="333">
        <v>414</v>
      </c>
      <c r="B415" s="936" t="s">
        <v>2798</v>
      </c>
      <c r="C415" s="307"/>
      <c r="D415" s="274" t="s">
        <v>1555</v>
      </c>
      <c r="E415" s="274" t="s">
        <v>1558</v>
      </c>
      <c r="F415" s="274"/>
      <c r="G415" s="274"/>
      <c r="H415" s="274"/>
      <c r="I415" s="662">
        <v>0.6</v>
      </c>
      <c r="J415" s="62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21.599999999999998</v>
      </c>
      <c r="K415" s="629">
        <f>Таблица7[[#This Row],[Размер отряда минимум]]*1.25</f>
        <v>26.999999999999996</v>
      </c>
      <c r="L415" s="629">
        <f>Таблица7[[#This Row],[Размер отряда норма]]*1.5</f>
        <v>40.499999999999993</v>
      </c>
      <c r="M415" s="630">
        <f>Таблица7[[#This Row],[Размер отряда минимум]]*2.5</f>
        <v>53.999999999999993</v>
      </c>
      <c r="N415" s="630"/>
      <c r="O415" s="630"/>
      <c r="P415" s="630"/>
      <c r="Q415" s="630"/>
      <c r="R415" s="936" t="s">
        <v>2790</v>
      </c>
      <c r="S415" s="936" t="s">
        <v>2791</v>
      </c>
      <c r="T415" s="274" t="s">
        <v>975</v>
      </c>
      <c r="U415" s="277" t="s">
        <v>1205</v>
      </c>
      <c r="V415" s="276"/>
      <c r="W415" s="274" t="s">
        <v>1001</v>
      </c>
      <c r="X415" s="274" t="s">
        <v>1528</v>
      </c>
      <c r="Y415" s="274"/>
      <c r="Z415" s="274" t="s">
        <v>1441</v>
      </c>
      <c r="AA415" s="274"/>
      <c r="AB415" s="274"/>
      <c r="AC415" s="274"/>
      <c r="AD415" s="805" t="s">
        <v>1202</v>
      </c>
      <c r="AE415" s="805"/>
      <c r="AF415" s="274" t="s">
        <v>985</v>
      </c>
      <c r="AG415" s="274"/>
      <c r="AH415" s="274" t="s">
        <v>985</v>
      </c>
      <c r="AI415" s="274"/>
      <c r="AJ415" s="277" t="s">
        <v>985</v>
      </c>
      <c r="AK415" s="277"/>
      <c r="AL415" s="278" t="s">
        <v>985</v>
      </c>
      <c r="AM415" s="274" t="s">
        <v>935</v>
      </c>
      <c r="AN415" s="274" t="s">
        <v>952</v>
      </c>
      <c r="AO415" s="274"/>
      <c r="AP415" s="274" t="s">
        <v>1132</v>
      </c>
      <c r="AQ415" s="274"/>
      <c r="AS415" s="275">
        <v>1500</v>
      </c>
      <c r="AT415" s="279">
        <v>1530</v>
      </c>
      <c r="AU415" s="405">
        <v>10</v>
      </c>
      <c r="AV415" s="405"/>
      <c r="AW415" s="405">
        <f>VLOOKUP(Таблица7[[#This Row],[Основное оружие]], Оружие[#All], 2, 0)</f>
        <v>2</v>
      </c>
      <c r="AX415" s="405">
        <f>IF(ISBLANK(Таблица7[[#This Row],[Дополнительное оружие]]),"", VLOOKUP(Таблица7[[#This Row],[Дополнительное оружие]], Оружие[#All], 2, 0))</f>
        <v>4</v>
      </c>
      <c r="AY41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11</v>
      </c>
      <c r="AZ41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41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15</v>
      </c>
      <c r="BB415" s="405">
        <f>VLOOKUP(Таблица7[[#This Row],[Основное оружие]], Оружие[#All], 3, 0)</f>
        <v>6</v>
      </c>
      <c r="BC415" s="405">
        <f>IF(ISBLANK(Таблица7[[#This Row],[Дополнительное оружие]]),"", VLOOKUP(Таблица7[[#This Row],[Дополнительное оружие]], Оружие[#All], 3, 0))</f>
        <v>3</v>
      </c>
      <c r="BD41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41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1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41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5" s="405">
        <f>Таблица7[[#This Row],[Броня]]+Таблица7[[#This Row],[Щит]]+Таблица7[[#This Row],[навык защиты]]</f>
        <v>17</v>
      </c>
      <c r="BK415" s="1006"/>
      <c r="BL415" s="1006"/>
      <c r="BM415" s="398"/>
      <c r="BN415" s="99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15" s="398">
        <v>1</v>
      </c>
      <c r="BP415" s="398">
        <v>-2</v>
      </c>
      <c r="BQ415" s="398">
        <v>0</v>
      </c>
      <c r="BR415" s="398">
        <v>-4</v>
      </c>
      <c r="BS415" s="398">
        <v>-2</v>
      </c>
      <c r="BT415" s="398">
        <v>11</v>
      </c>
      <c r="BU415" s="999" t="s">
        <v>1840</v>
      </c>
      <c r="BV415" s="999" t="s">
        <v>1844</v>
      </c>
      <c r="BW415" s="398"/>
      <c r="BX415" s="398"/>
      <c r="BY415" s="398"/>
      <c r="BZ415" s="280"/>
    </row>
    <row r="416" spans="1:78" s="275" customFormat="1" ht="40.5" customHeight="1" x14ac:dyDescent="0.25">
      <c r="A416" s="333">
        <v>415</v>
      </c>
      <c r="B416" s="936" t="s">
        <v>2799</v>
      </c>
      <c r="C416" s="307"/>
      <c r="D416" s="274" t="s">
        <v>1555</v>
      </c>
      <c r="E416" s="274" t="s">
        <v>1570</v>
      </c>
      <c r="F416" s="274"/>
      <c r="G416" s="274"/>
      <c r="H416" s="274"/>
      <c r="I416" s="662">
        <v>0.6</v>
      </c>
      <c r="J416" s="629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416" s="629">
        <f>Таблица7[[#This Row],[Размер отряда минимум]]*1.25</f>
        <v>30</v>
      </c>
      <c r="L416" s="629">
        <f>Таблица7[[#This Row],[Размер отряда норма]]*1.5</f>
        <v>45</v>
      </c>
      <c r="M416" s="630">
        <f>Таблица7[[#This Row],[Размер отряда минимум]]*2.5</f>
        <v>60</v>
      </c>
      <c r="N416" s="630"/>
      <c r="O416" s="630"/>
      <c r="P416" s="630"/>
      <c r="Q416" s="630"/>
      <c r="R416" s="936" t="s">
        <v>2790</v>
      </c>
      <c r="S416" s="936" t="s">
        <v>2791</v>
      </c>
      <c r="T416" s="274" t="s">
        <v>976</v>
      </c>
      <c r="U416" s="277" t="s">
        <v>1206</v>
      </c>
      <c r="V416" s="276"/>
      <c r="W416" s="274" t="s">
        <v>1001</v>
      </c>
      <c r="X416" s="274" t="s">
        <v>1469</v>
      </c>
      <c r="Y416" s="274"/>
      <c r="Z416" s="274" t="s">
        <v>1439</v>
      </c>
      <c r="AA416" s="274"/>
      <c r="AB416" s="274"/>
      <c r="AC416" s="274"/>
      <c r="AD416" s="277" t="s">
        <v>1202</v>
      </c>
      <c r="AE416" s="277"/>
      <c r="AF416" s="274" t="s">
        <v>985</v>
      </c>
      <c r="AG416" s="274"/>
      <c r="AH416" s="274" t="s">
        <v>985</v>
      </c>
      <c r="AI416" s="274"/>
      <c r="AJ416" s="277" t="s">
        <v>985</v>
      </c>
      <c r="AK416" s="277"/>
      <c r="AL416" s="278" t="s">
        <v>985</v>
      </c>
      <c r="AM416" s="274" t="s">
        <v>935</v>
      </c>
      <c r="AN416" s="274" t="s">
        <v>952</v>
      </c>
      <c r="AO416" s="274"/>
      <c r="AP416" s="274" t="s">
        <v>1132</v>
      </c>
      <c r="AQ416" s="274"/>
      <c r="AS416" s="275">
        <v>1530</v>
      </c>
      <c r="AT416" s="279"/>
      <c r="AU416" s="405">
        <v>10</v>
      </c>
      <c r="AV416" s="405" t="s">
        <v>1828</v>
      </c>
      <c r="AW416" s="405">
        <f>VLOOKUP(Таблица7[[#This Row],[Основное оружие]], Оружие[#All], 2, 0)</f>
        <v>0</v>
      </c>
      <c r="AX416" s="405">
        <f>IF(ISBLANK(Таблица7[[#This Row],[Дополнительное оружие]]),"", VLOOKUP(Таблица7[[#This Row],[Дополнительное оружие]], Оружие[#All], 2, 0))</f>
        <v>3</v>
      </c>
      <c r="AY41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12</v>
      </c>
      <c r="AZ41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1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15</v>
      </c>
      <c r="BB416" s="405">
        <f>VLOOKUP(Таблица7[[#This Row],[Основное оружие]], Оружие[#All], 3, 0)</f>
        <v>1</v>
      </c>
      <c r="BC416" s="405">
        <f>IF(ISBLANK(Таблица7[[#This Row],[Дополнительное оружие]]),"", VLOOKUP(Таблица7[[#This Row],[Дополнительное оружие]], Оружие[#All], 3, 0))</f>
        <v>3</v>
      </c>
      <c r="BD41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41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1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41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6" s="405">
        <f>Таблица7[[#This Row],[Броня]]+Таблица7[[#This Row],[Щит]]+Таблица7[[#This Row],[навык защиты]]</f>
        <v>17</v>
      </c>
      <c r="BK416" s="1006"/>
      <c r="BL416" s="1006"/>
      <c r="BM416" s="398"/>
      <c r="BN416" s="999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16" s="398">
        <v>1</v>
      </c>
      <c r="BP416" s="398">
        <v>-2</v>
      </c>
      <c r="BQ416" s="398">
        <v>0</v>
      </c>
      <c r="BR416" s="398">
        <v>-4</v>
      </c>
      <c r="BS416" s="398">
        <v>-2</v>
      </c>
      <c r="BT416" s="398">
        <v>11</v>
      </c>
      <c r="BU416" s="999" t="s">
        <v>1840</v>
      </c>
      <c r="BV416" s="999" t="s">
        <v>1844</v>
      </c>
      <c r="BW416" s="398"/>
      <c r="BX416" s="398"/>
      <c r="BY416" s="398"/>
      <c r="BZ416" s="280"/>
    </row>
    <row r="417" spans="1:78" s="150" customFormat="1" ht="40.5" customHeight="1" x14ac:dyDescent="0.25">
      <c r="A417" s="333">
        <v>416</v>
      </c>
      <c r="B417" s="150" t="s">
        <v>1386</v>
      </c>
      <c r="C417" s="150" t="s">
        <v>2146</v>
      </c>
      <c r="D417" s="150" t="s">
        <v>1555</v>
      </c>
      <c r="E417" s="150" t="s">
        <v>1570</v>
      </c>
      <c r="I417" s="663">
        <v>0.75</v>
      </c>
      <c r="J417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417" s="631">
        <f>Таблица7[[#This Row],[Размер отряда минимум]]*1.25</f>
        <v>33.75</v>
      </c>
      <c r="L417" s="631">
        <f>Таблица7[[#This Row],[Размер отряда норма]]*1.5</f>
        <v>50.625</v>
      </c>
      <c r="M417" s="632">
        <f>Таблица7[[#This Row],[Размер отряда минимум]]*2.5</f>
        <v>67.5</v>
      </c>
      <c r="N417" s="632"/>
      <c r="O417" s="632"/>
      <c r="P417" s="632"/>
      <c r="Q417" s="632"/>
      <c r="R417" s="824" t="s">
        <v>1135</v>
      </c>
      <c r="S417" s="824" t="s">
        <v>2072</v>
      </c>
      <c r="T417" s="150" t="s">
        <v>975</v>
      </c>
      <c r="U417" s="908" t="s">
        <v>2610</v>
      </c>
      <c r="V417" s="910" t="s">
        <v>2594</v>
      </c>
      <c r="W417" s="150" t="s">
        <v>984</v>
      </c>
      <c r="X417" s="150" t="s">
        <v>1692</v>
      </c>
      <c r="Y417" s="150" t="s">
        <v>1938</v>
      </c>
      <c r="Z417" s="150" t="s">
        <v>1036</v>
      </c>
      <c r="AA417" s="150" t="s">
        <v>1929</v>
      </c>
      <c r="AD417" s="340" t="s">
        <v>985</v>
      </c>
      <c r="AE417" s="340"/>
      <c r="AF417" s="150" t="s">
        <v>991</v>
      </c>
      <c r="AG417" s="150" t="s">
        <v>1951</v>
      </c>
      <c r="AH417" s="150" t="s">
        <v>1202</v>
      </c>
      <c r="AI417" s="150" t="s">
        <v>1980</v>
      </c>
      <c r="AJ417" s="150" t="s">
        <v>985</v>
      </c>
      <c r="AL417" s="210" t="s">
        <v>985</v>
      </c>
      <c r="AM417" s="152" t="s">
        <v>1136</v>
      </c>
      <c r="AN417" s="152" t="s">
        <v>1136</v>
      </c>
      <c r="AO417" s="824" t="s">
        <v>2072</v>
      </c>
      <c r="AP417" s="150" t="s">
        <v>2148</v>
      </c>
      <c r="AQ417" s="150" t="s">
        <v>2149</v>
      </c>
      <c r="AS417" s="150">
        <v>1500</v>
      </c>
      <c r="AT417" s="154">
        <v>1550</v>
      </c>
      <c r="AU417" s="407">
        <v>3</v>
      </c>
      <c r="AV417" s="405" t="s">
        <v>1827</v>
      </c>
      <c r="AW417" s="405">
        <f>VLOOKUP(Таблица7[[#This Row],[Основное оружие]], Оружие[#All], 2, 0)</f>
        <v>8</v>
      </c>
      <c r="AX417" s="405">
        <f>IF(ISBLANK(Таблица7[[#This Row],[Дополнительное оружие]]),"", VLOOKUP(Таблица7[[#This Row],[Дополнительное оружие]], Оружие[#All], 2, 0))</f>
        <v>5</v>
      </c>
      <c r="AY41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1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41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17" s="405">
        <f>VLOOKUP(Таблица7[[#This Row],[Основное оружие]], Оружие[#All], 3, 0)</f>
        <v>1</v>
      </c>
      <c r="BC417" s="405">
        <f>IF(ISBLANK(Таблица7[[#This Row],[Дополнительное оружие]]),"", VLOOKUP(Таблица7[[#This Row],[Дополнительное оружие]], Оружие[#All], 3, 0))</f>
        <v>3</v>
      </c>
      <c r="BD41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1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417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8</v>
      </c>
      <c r="BG41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41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7" s="405">
        <f>Таблица7[[#This Row],[Броня]]+Таблица7[[#This Row],[Щит]]+Таблица7[[#This Row],[навык защиты]]</f>
        <v>3</v>
      </c>
      <c r="BK417" s="1008" t="s">
        <v>1589</v>
      </c>
      <c r="BL417" s="1008"/>
      <c r="BM417" s="399"/>
      <c r="BN417" s="1001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17" s="399">
        <v>1</v>
      </c>
      <c r="BP417" s="399">
        <v>-2</v>
      </c>
      <c r="BQ417" s="399">
        <v>0</v>
      </c>
      <c r="BR417" s="399">
        <v>-4</v>
      </c>
      <c r="BS417" s="399">
        <v>-2</v>
      </c>
      <c r="BT417" s="399">
        <v>6</v>
      </c>
      <c r="BU417" s="1001" t="s">
        <v>1576</v>
      </c>
      <c r="BV417" s="1001" t="s">
        <v>1843</v>
      </c>
      <c r="BW417" s="399"/>
      <c r="BX417" s="399"/>
      <c r="BY417" s="399"/>
    </row>
    <row r="418" spans="1:78" s="151" customFormat="1" ht="40.5" customHeight="1" x14ac:dyDescent="0.25">
      <c r="A418" s="333">
        <v>417</v>
      </c>
      <c r="B418" s="150" t="s">
        <v>1387</v>
      </c>
      <c r="C418" s="150" t="s">
        <v>2260</v>
      </c>
      <c r="D418" s="152" t="s">
        <v>1556</v>
      </c>
      <c r="E418" s="152" t="s">
        <v>1561</v>
      </c>
      <c r="F418" s="152"/>
      <c r="G418" s="152"/>
      <c r="H418" s="152"/>
      <c r="I418" s="663">
        <v>0.75</v>
      </c>
      <c r="J418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418" s="631">
        <f>Таблица7[[#This Row],[Размер отряда минимум]]*1.25</f>
        <v>84.375</v>
      </c>
      <c r="L418" s="631">
        <f>Таблица7[[#This Row],[Размер отряда норма]]*1.5</f>
        <v>126.5625</v>
      </c>
      <c r="M418" s="633">
        <f>Таблица7[[#This Row],[Размер отряда минимум]]*2.5</f>
        <v>168.75</v>
      </c>
      <c r="N418" s="633"/>
      <c r="O418" s="633"/>
      <c r="P418" s="633"/>
      <c r="Q418" s="633"/>
      <c r="R418" s="152" t="s">
        <v>1135</v>
      </c>
      <c r="S418" s="824" t="s">
        <v>2072</v>
      </c>
      <c r="T418" s="152" t="s">
        <v>975</v>
      </c>
      <c r="U418" s="908" t="s">
        <v>2611</v>
      </c>
      <c r="V418" s="910" t="s">
        <v>2595</v>
      </c>
      <c r="W418" s="152" t="s">
        <v>993</v>
      </c>
      <c r="X418" s="152" t="s">
        <v>994</v>
      </c>
      <c r="Y418" s="824" t="s">
        <v>1932</v>
      </c>
      <c r="Z418" s="152"/>
      <c r="AA418" s="152"/>
      <c r="AB418" s="152"/>
      <c r="AC418" s="152"/>
      <c r="AD418" s="193" t="s">
        <v>1158</v>
      </c>
      <c r="AE418" s="193" t="s">
        <v>1962</v>
      </c>
      <c r="AF418" s="152" t="s">
        <v>1211</v>
      </c>
      <c r="AG418" s="152" t="s">
        <v>1963</v>
      </c>
      <c r="AH418" s="152" t="s">
        <v>985</v>
      </c>
      <c r="AI418" s="152"/>
      <c r="AJ418" s="193" t="s">
        <v>985</v>
      </c>
      <c r="AK418" s="193"/>
      <c r="AL418" s="210" t="s">
        <v>985</v>
      </c>
      <c r="AM418" s="152" t="s">
        <v>1136</v>
      </c>
      <c r="AN418" s="152" t="s">
        <v>1136</v>
      </c>
      <c r="AO418" s="824" t="s">
        <v>2072</v>
      </c>
      <c r="AP418" s="152" t="s">
        <v>1145</v>
      </c>
      <c r="AQ418" s="824" t="s">
        <v>2073</v>
      </c>
      <c r="AR418" s="152"/>
      <c r="AS418" s="152">
        <v>1500</v>
      </c>
      <c r="AT418" s="154">
        <v>1551</v>
      </c>
      <c r="AU418" s="405">
        <v>3</v>
      </c>
      <c r="AV418" s="405"/>
      <c r="AW418" s="405">
        <f>VLOOKUP(Таблица7[[#This Row],[Основное оружие]], Оружие[#All], 2, 0)</f>
        <v>1</v>
      </c>
      <c r="AX418" s="405" t="str">
        <f>IF(ISBLANK(Таблица7[[#This Row],[Дополнительное оружие]]),"", VLOOKUP(Таблица7[[#This Row],[Дополнительное оружие]], Оружие[#All], 2, 0))</f>
        <v/>
      </c>
      <c r="AY41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</v>
      </c>
      <c r="AZ41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2</v>
      </c>
      <c r="BA418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18" s="405">
        <f>VLOOKUP(Таблица7[[#This Row],[Основное оружие]], Оружие[#All], 3, 0)</f>
        <v>1</v>
      </c>
      <c r="BC418" s="405" t="str">
        <f>IF(ISBLANK(Таблица7[[#This Row],[Дополнительное оружие]]),"", VLOOKUP(Таблица7[[#This Row],[Дополнительное оружие]], Оружие[#All], 3, 0))</f>
        <v/>
      </c>
      <c r="BD41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1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1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41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8" s="405">
        <f>Таблица7[[#This Row],[Броня]]+Таблица7[[#This Row],[Щит]]+Таблица7[[#This Row],[навык защиты]]</f>
        <v>14</v>
      </c>
      <c r="BK418" s="1006"/>
      <c r="BL418" s="1006"/>
      <c r="BM418" s="400"/>
      <c r="BN418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18" s="400">
        <v>2</v>
      </c>
      <c r="BP418" s="400">
        <v>-1</v>
      </c>
      <c r="BQ418" s="400">
        <v>-1</v>
      </c>
      <c r="BR418" s="400">
        <v>-2</v>
      </c>
      <c r="BS418" s="400">
        <v>1</v>
      </c>
      <c r="BT418" s="400">
        <v>5</v>
      </c>
      <c r="BU418" s="1002" t="s">
        <v>1839</v>
      </c>
      <c r="BV418" s="1002" t="s">
        <v>1843</v>
      </c>
      <c r="BW418" s="400"/>
      <c r="BX418" s="400"/>
      <c r="BY418" s="400"/>
      <c r="BZ418" s="155"/>
    </row>
    <row r="419" spans="1:78" s="151" customFormat="1" ht="40.5" customHeight="1" x14ac:dyDescent="0.25">
      <c r="A419" s="333">
        <v>418</v>
      </c>
      <c r="B419" s="150" t="s">
        <v>1388</v>
      </c>
      <c r="C419" s="150" t="s">
        <v>2261</v>
      </c>
      <c r="D419" s="152" t="s">
        <v>1556</v>
      </c>
      <c r="E419" s="152" t="s">
        <v>1448</v>
      </c>
      <c r="F419" s="152"/>
      <c r="G419" s="152"/>
      <c r="H419" s="152"/>
      <c r="I419" s="663">
        <v>0.75</v>
      </c>
      <c r="J419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419" s="631">
        <f>Таблица7[[#This Row],[Размер отряда минимум]]*1.25</f>
        <v>84.375</v>
      </c>
      <c r="L419" s="631">
        <f>Таблица7[[#This Row],[Размер отряда норма]]*1.5</f>
        <v>126.5625</v>
      </c>
      <c r="M419" s="633">
        <f>Таблица7[[#This Row],[Размер отряда минимум]]*2.5</f>
        <v>168.75</v>
      </c>
      <c r="N419" s="633"/>
      <c r="O419" s="633"/>
      <c r="P419" s="633"/>
      <c r="Q419" s="633"/>
      <c r="R419" s="152" t="s">
        <v>1135</v>
      </c>
      <c r="S419" s="824" t="s">
        <v>2072</v>
      </c>
      <c r="T419" s="152" t="s">
        <v>975</v>
      </c>
      <c r="U419" s="908" t="s">
        <v>2612</v>
      </c>
      <c r="V419" s="910" t="s">
        <v>2596</v>
      </c>
      <c r="W419" s="152" t="s">
        <v>993</v>
      </c>
      <c r="X419" s="152" t="s">
        <v>996</v>
      </c>
      <c r="Y419" s="152" t="s">
        <v>1973</v>
      </c>
      <c r="Z419" s="152"/>
      <c r="AA419" s="152"/>
      <c r="AB419" s="152"/>
      <c r="AC419" s="152"/>
      <c r="AD419" s="193" t="s">
        <v>1158</v>
      </c>
      <c r="AE419" s="193" t="s">
        <v>1962</v>
      </c>
      <c r="AF419" s="152" t="s">
        <v>1211</v>
      </c>
      <c r="AG419" s="152" t="s">
        <v>1963</v>
      </c>
      <c r="AH419" s="152" t="s">
        <v>985</v>
      </c>
      <c r="AI419" s="152"/>
      <c r="AJ419" s="193" t="s">
        <v>985</v>
      </c>
      <c r="AK419" s="193"/>
      <c r="AL419" s="210" t="s">
        <v>985</v>
      </c>
      <c r="AM419" s="152" t="s">
        <v>1136</v>
      </c>
      <c r="AN419" s="152" t="s">
        <v>1136</v>
      </c>
      <c r="AO419" s="824" t="s">
        <v>2072</v>
      </c>
      <c r="AP419" s="152" t="s">
        <v>1145</v>
      </c>
      <c r="AQ419" s="824" t="s">
        <v>2073</v>
      </c>
      <c r="AR419" s="152"/>
      <c r="AS419" s="152">
        <v>1500</v>
      </c>
      <c r="AT419" s="154">
        <v>1551</v>
      </c>
      <c r="AU419" s="405">
        <v>3</v>
      </c>
      <c r="AV419" s="405"/>
      <c r="AW419" s="405">
        <f>VLOOKUP(Таблица7[[#This Row],[Основное оружие]], Оружие[#All], 2, 0)</f>
        <v>7</v>
      </c>
      <c r="AX419" s="405" t="str">
        <f>IF(ISBLANK(Таблица7[[#This Row],[Дополнительное оружие]]),"", VLOOKUP(Таблица7[[#This Row],[Дополнительное оружие]], Оружие[#All], 2, 0))</f>
        <v/>
      </c>
      <c r="AY41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41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41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19" s="405">
        <f>VLOOKUP(Таблица7[[#This Row],[Основное оружие]], Оружие[#All], 3, 0)</f>
        <v>3</v>
      </c>
      <c r="BC419" s="405" t="str">
        <f>IF(ISBLANK(Таблица7[[#This Row],[Дополнительное оружие]]),"", VLOOKUP(Таблица7[[#This Row],[Дополнительное оружие]], Оружие[#All], 3, 0))</f>
        <v/>
      </c>
      <c r="BD41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1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1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1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1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1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19" s="405">
        <f>Таблица7[[#This Row],[Броня]]+Таблица7[[#This Row],[Щит]]+Таблица7[[#This Row],[навык защиты]]</f>
        <v>16</v>
      </c>
      <c r="BK419" s="1006"/>
      <c r="BL419" s="1006"/>
      <c r="BM419" s="400"/>
      <c r="BN419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19" s="400">
        <v>2</v>
      </c>
      <c r="BP419" s="400">
        <v>0</v>
      </c>
      <c r="BQ419" s="400">
        <v>-1</v>
      </c>
      <c r="BR419" s="400">
        <v>-1</v>
      </c>
      <c r="BS419" s="400">
        <v>1</v>
      </c>
      <c r="BT419" s="400">
        <v>5</v>
      </c>
      <c r="BU419" s="1002" t="s">
        <v>1839</v>
      </c>
      <c r="BV419" s="1002" t="s">
        <v>1843</v>
      </c>
      <c r="BW419" s="400"/>
      <c r="BX419" s="400"/>
      <c r="BY419" s="400"/>
      <c r="BZ419" s="155"/>
    </row>
    <row r="420" spans="1:78" s="151" customFormat="1" ht="40.5" customHeight="1" x14ac:dyDescent="0.25">
      <c r="A420" s="333">
        <v>419</v>
      </c>
      <c r="B420" s="150" t="s">
        <v>1389</v>
      </c>
      <c r="C420" s="150" t="s">
        <v>2074</v>
      </c>
      <c r="D420" s="152" t="s">
        <v>1556</v>
      </c>
      <c r="E420" s="152" t="s">
        <v>1547</v>
      </c>
      <c r="F420" s="152"/>
      <c r="G420" s="152"/>
      <c r="H420" s="152"/>
      <c r="I420" s="663">
        <v>0.3</v>
      </c>
      <c r="J420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420" s="631">
        <f>Таблица7[[#This Row],[Размер отряда минимум]]*1.25</f>
        <v>30</v>
      </c>
      <c r="L420" s="631">
        <f>Таблица7[[#This Row],[Размер отряда норма]]*1.5</f>
        <v>45</v>
      </c>
      <c r="M420" s="633">
        <f>Таблица7[[#This Row],[Размер отряда минимум]]*2.5</f>
        <v>60</v>
      </c>
      <c r="N420" s="633"/>
      <c r="O420" s="633"/>
      <c r="P420" s="633"/>
      <c r="Q420" s="633"/>
      <c r="R420" s="152" t="s">
        <v>1135</v>
      </c>
      <c r="S420" s="824" t="s">
        <v>2072</v>
      </c>
      <c r="T420" s="152" t="s">
        <v>975</v>
      </c>
      <c r="U420" s="908" t="s">
        <v>2613</v>
      </c>
      <c r="V420" s="910" t="s">
        <v>2597</v>
      </c>
      <c r="W420" s="152" t="s">
        <v>1001</v>
      </c>
      <c r="X420" s="152" t="s">
        <v>1138</v>
      </c>
      <c r="Y420" s="152" t="s">
        <v>2075</v>
      </c>
      <c r="Z420" s="152"/>
      <c r="AA420" s="152"/>
      <c r="AB420" s="152"/>
      <c r="AC420" s="152"/>
      <c r="AD420" s="193" t="s">
        <v>1002</v>
      </c>
      <c r="AE420" s="825" t="s">
        <v>2025</v>
      </c>
      <c r="AF420" s="152" t="s">
        <v>985</v>
      </c>
      <c r="AG420" s="152" t="s">
        <v>1963</v>
      </c>
      <c r="AH420" s="152" t="s">
        <v>985</v>
      </c>
      <c r="AI420" s="152"/>
      <c r="AJ420" s="152" t="s">
        <v>1004</v>
      </c>
      <c r="AK420" s="824" t="s">
        <v>1952</v>
      </c>
      <c r="AL420" s="210" t="s">
        <v>985</v>
      </c>
      <c r="AM420" s="152" t="s">
        <v>1136</v>
      </c>
      <c r="AN420" s="152" t="s">
        <v>1136</v>
      </c>
      <c r="AO420" s="824" t="s">
        <v>2072</v>
      </c>
      <c r="AP420" s="152" t="s">
        <v>1145</v>
      </c>
      <c r="AQ420" s="824" t="s">
        <v>2073</v>
      </c>
      <c r="AS420" s="151">
        <v>1500</v>
      </c>
      <c r="AT420" s="154">
        <v>1565</v>
      </c>
      <c r="AU420" s="405">
        <v>8</v>
      </c>
      <c r="AV420" s="405"/>
      <c r="AW420" s="405">
        <f>VLOOKUP(Таблица7[[#This Row],[Основное оружие]], Оружие[#All], 2, 0)</f>
        <v>5</v>
      </c>
      <c r="AX420" s="405" t="str">
        <f>IF(ISBLANK(Таблица7[[#This Row],[Дополнительное оружие]]),"", VLOOKUP(Таблица7[[#This Row],[Дополнительное оружие]], Оружие[#All], 2, 0))</f>
        <v/>
      </c>
      <c r="AY42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2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42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20" s="405">
        <f>VLOOKUP(Таблица7[[#This Row],[Основное оружие]], Оружие[#All], 3, 0)</f>
        <v>3</v>
      </c>
      <c r="BC420" s="405" t="str">
        <f>IF(ISBLANK(Таблица7[[#This Row],[Дополнительное оружие]]),"", VLOOKUP(Таблица7[[#This Row],[Дополнительное оружие]], Оружие[#All], 3, 0))</f>
        <v/>
      </c>
      <c r="BD42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2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2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2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8</v>
      </c>
      <c r="BI42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0" s="405">
        <f>Таблица7[[#This Row],[Броня]]+Таблица7[[#This Row],[Щит]]+Таблица7[[#This Row],[навык защиты]]</f>
        <v>28</v>
      </c>
      <c r="BK420" s="1006"/>
      <c r="BL420" s="1008" t="s">
        <v>1585</v>
      </c>
      <c r="BM420" s="400"/>
      <c r="BN420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20" s="400">
        <v>2</v>
      </c>
      <c r="BP420" s="400">
        <v>0</v>
      </c>
      <c r="BQ420" s="400">
        <v>-1</v>
      </c>
      <c r="BR420" s="400">
        <v>0</v>
      </c>
      <c r="BS420" s="400">
        <v>1</v>
      </c>
      <c r="BT420" s="400">
        <v>9</v>
      </c>
      <c r="BU420" s="1002" t="s">
        <v>1840</v>
      </c>
      <c r="BV420" s="1002" t="s">
        <v>1844</v>
      </c>
      <c r="BW420" s="400"/>
      <c r="BX420" s="400"/>
      <c r="BY420" s="400"/>
      <c r="BZ420" s="155"/>
    </row>
    <row r="421" spans="1:78" s="151" customFormat="1" ht="40.5" customHeight="1" x14ac:dyDescent="0.25">
      <c r="A421" s="333">
        <v>420</v>
      </c>
      <c r="B421" s="150" t="s">
        <v>1390</v>
      </c>
      <c r="C421" s="150" t="s">
        <v>2076</v>
      </c>
      <c r="D421" s="152" t="s">
        <v>1556</v>
      </c>
      <c r="E421" s="150" t="s">
        <v>1571</v>
      </c>
      <c r="F421" s="150"/>
      <c r="G421" s="150"/>
      <c r="H421" s="150"/>
      <c r="I421" s="663">
        <v>0.3</v>
      </c>
      <c r="J421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421" s="631">
        <f>Таблица7[[#This Row],[Размер отряда минимум]]*1.25</f>
        <v>37.5</v>
      </c>
      <c r="L421" s="631">
        <f>Таблица7[[#This Row],[Размер отряда норма]]*1.5</f>
        <v>56.25</v>
      </c>
      <c r="M421" s="633">
        <f>Таблица7[[#This Row],[Размер отряда минимум]]*2.5</f>
        <v>75</v>
      </c>
      <c r="N421" s="633"/>
      <c r="O421" s="633"/>
      <c r="P421" s="633"/>
      <c r="Q421" s="633"/>
      <c r="R421" s="152" t="s">
        <v>1135</v>
      </c>
      <c r="S421" s="824" t="s">
        <v>2072</v>
      </c>
      <c r="T421" s="152" t="s">
        <v>976</v>
      </c>
      <c r="U421" s="908" t="s">
        <v>2614</v>
      </c>
      <c r="V421" s="910" t="s">
        <v>2598</v>
      </c>
      <c r="W421" s="152" t="s">
        <v>1001</v>
      </c>
      <c r="X421" s="152" t="s">
        <v>1469</v>
      </c>
      <c r="Y421" s="152" t="s">
        <v>2056</v>
      </c>
      <c r="Z421" s="152" t="s">
        <v>1440</v>
      </c>
      <c r="AA421" s="824" t="s">
        <v>2020</v>
      </c>
      <c r="AB421" s="152"/>
      <c r="AC421" s="152"/>
      <c r="AD421" s="193" t="s">
        <v>1158</v>
      </c>
      <c r="AE421" s="193" t="s">
        <v>1962</v>
      </c>
      <c r="AF421" s="152" t="s">
        <v>1211</v>
      </c>
      <c r="AG421" s="152"/>
      <c r="AH421" s="152" t="s">
        <v>985</v>
      </c>
      <c r="AI421" s="152"/>
      <c r="AJ421" s="193" t="s">
        <v>985</v>
      </c>
      <c r="AK421" s="193"/>
      <c r="AL421" s="210" t="s">
        <v>985</v>
      </c>
      <c r="AM421" s="152" t="s">
        <v>1136</v>
      </c>
      <c r="AN421" s="152" t="s">
        <v>1136</v>
      </c>
      <c r="AO421" s="824" t="s">
        <v>2072</v>
      </c>
      <c r="AP421" s="152" t="s">
        <v>1145</v>
      </c>
      <c r="AQ421" s="824" t="s">
        <v>2073</v>
      </c>
      <c r="AS421" s="151">
        <v>1550</v>
      </c>
      <c r="AT421" s="154"/>
      <c r="AU421" s="405">
        <v>6</v>
      </c>
      <c r="AV421" s="405" t="s">
        <v>1828</v>
      </c>
      <c r="AW421" s="405">
        <f>VLOOKUP(Таблица7[[#This Row],[Основное оружие]], Оружие[#All], 2, 0)</f>
        <v>0</v>
      </c>
      <c r="AX421" s="405">
        <f>IF(ISBLANK(Таблица7[[#This Row],[Дополнительное оружие]]),"", VLOOKUP(Таблица7[[#This Row],[Дополнительное оружие]], Оружие[#All], 2, 0))</f>
        <v>4</v>
      </c>
      <c r="AY42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2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2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21" s="405">
        <f>VLOOKUP(Таблица7[[#This Row],[Основное оружие]], Оружие[#All], 3, 0)</f>
        <v>1</v>
      </c>
      <c r="BC421" s="405">
        <f>IF(ISBLANK(Таблица7[[#This Row],[Дополнительное оружие]]),"", VLOOKUP(Таблица7[[#This Row],[Дополнительное оружие]], Оружие[#All], 3, 0))</f>
        <v>3</v>
      </c>
      <c r="BD42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2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2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2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2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1" s="405">
        <f>Таблица7[[#This Row],[Броня]]+Таблица7[[#This Row],[Щит]]+Таблица7[[#This Row],[навык защиты]]</f>
        <v>19</v>
      </c>
      <c r="BK421" s="1006"/>
      <c r="BL421" s="1006"/>
      <c r="BM421" s="400"/>
      <c r="BN421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21" s="400">
        <v>2</v>
      </c>
      <c r="BP421" s="400">
        <v>1</v>
      </c>
      <c r="BQ421" s="550">
        <v>-1</v>
      </c>
      <c r="BR421" s="400">
        <v>2</v>
      </c>
      <c r="BS421" s="400">
        <v>1</v>
      </c>
      <c r="BT421" s="400">
        <v>9</v>
      </c>
      <c r="BU421" s="1002" t="s">
        <v>1840</v>
      </c>
      <c r="BV421" s="1002" t="s">
        <v>1843</v>
      </c>
      <c r="BW421" s="400"/>
      <c r="BX421" s="400"/>
      <c r="BY421" s="400"/>
      <c r="BZ421" s="155"/>
    </row>
    <row r="422" spans="1:78" s="151" customFormat="1" ht="40.5" customHeight="1" x14ac:dyDescent="0.25">
      <c r="A422" s="333">
        <v>421</v>
      </c>
      <c r="B422" s="156" t="s">
        <v>1391</v>
      </c>
      <c r="C422" s="150"/>
      <c r="D422" s="152" t="s">
        <v>1556</v>
      </c>
      <c r="E422" s="150" t="s">
        <v>1570</v>
      </c>
      <c r="F422" s="150"/>
      <c r="G422" s="150"/>
      <c r="H422" s="150"/>
      <c r="I422" s="663">
        <v>1</v>
      </c>
      <c r="J422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422" s="631">
        <f>Таблица7[[#This Row],[Размер отряда минимум]]*1.25</f>
        <v>112.5</v>
      </c>
      <c r="L422" s="631">
        <f>Таблица7[[#This Row],[Размер отряда норма]]*1.5</f>
        <v>168.75</v>
      </c>
      <c r="M422" s="633">
        <f>Таблица7[[#This Row],[Размер отряда минимум]]*2.5</f>
        <v>225</v>
      </c>
      <c r="N422" s="633"/>
      <c r="O422" s="633"/>
      <c r="P422" s="633"/>
      <c r="Q422" s="633"/>
      <c r="R422" s="152" t="s">
        <v>1135</v>
      </c>
      <c r="S422" s="824" t="s">
        <v>2072</v>
      </c>
      <c r="T422" s="152" t="s">
        <v>975</v>
      </c>
      <c r="U422" s="908" t="s">
        <v>2615</v>
      </c>
      <c r="V422" s="153"/>
      <c r="W422" s="152" t="s">
        <v>1001</v>
      </c>
      <c r="X422" s="152" t="s">
        <v>1469</v>
      </c>
      <c r="Y422" s="152"/>
      <c r="Z422" s="152" t="s">
        <v>1036</v>
      </c>
      <c r="AA422" s="152"/>
      <c r="AB422" s="152"/>
      <c r="AC422" s="152"/>
      <c r="AD422" s="193" t="s">
        <v>985</v>
      </c>
      <c r="AE422" s="193"/>
      <c r="AF422" s="152" t="s">
        <v>991</v>
      </c>
      <c r="AG422" s="152"/>
      <c r="AH422" s="152" t="s">
        <v>985</v>
      </c>
      <c r="AI422" s="152"/>
      <c r="AJ422" s="193" t="s">
        <v>985</v>
      </c>
      <c r="AK422" s="193"/>
      <c r="AL422" s="210" t="s">
        <v>985</v>
      </c>
      <c r="AM422" s="152" t="s">
        <v>1136</v>
      </c>
      <c r="AN422" s="152" t="s">
        <v>1136</v>
      </c>
      <c r="AO422" s="824" t="s">
        <v>2072</v>
      </c>
      <c r="AP422" s="152" t="s">
        <v>1137</v>
      </c>
      <c r="AQ422" s="152"/>
      <c r="AS422" s="151">
        <v>1500</v>
      </c>
      <c r="AT422" s="154">
        <v>1550</v>
      </c>
      <c r="AU422" s="405">
        <v>5</v>
      </c>
      <c r="AV422" s="405" t="s">
        <v>1827</v>
      </c>
      <c r="AW422" s="405">
        <f>VLOOKUP(Таблица7[[#This Row],[Основное оружие]], Оружие[#All], 2, 0)</f>
        <v>0</v>
      </c>
      <c r="AX422" s="405">
        <f>IF(ISBLANK(Таблица7[[#This Row],[Дополнительное оружие]]),"", VLOOKUP(Таблица7[[#This Row],[Дополнительное оружие]], Оружие[#All], 2, 0))</f>
        <v>5</v>
      </c>
      <c r="AY42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2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2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422" s="405">
        <f>VLOOKUP(Таблица7[[#This Row],[Основное оружие]], Оружие[#All], 3, 0)</f>
        <v>1</v>
      </c>
      <c r="BC422" s="405">
        <f>IF(ISBLANK(Таблица7[[#This Row],[Дополнительное оружие]]),"", VLOOKUP(Таблица7[[#This Row],[Дополнительное оружие]], Оружие[#All], 3, 0))</f>
        <v>3</v>
      </c>
      <c r="BD42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2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2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2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2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2" s="405">
        <f>Таблица7[[#This Row],[Броня]]+Таблица7[[#This Row],[Щит]]+Таблица7[[#This Row],[навык защиты]]</f>
        <v>7</v>
      </c>
      <c r="BK422" s="1006"/>
      <c r="BL422" s="1006"/>
      <c r="BM422" s="400"/>
      <c r="BN422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22" s="400">
        <v>1</v>
      </c>
      <c r="BP422" s="400">
        <v>1</v>
      </c>
      <c r="BQ422" s="400">
        <v>0</v>
      </c>
      <c r="BR422" s="400">
        <v>2</v>
      </c>
      <c r="BS422" s="400">
        <v>0</v>
      </c>
      <c r="BT422" s="400">
        <v>8</v>
      </c>
      <c r="BU422" s="1002" t="s">
        <v>1576</v>
      </c>
      <c r="BV422" s="1002" t="s">
        <v>1843</v>
      </c>
      <c r="BW422" s="400"/>
      <c r="BX422" s="400"/>
      <c r="BY422" s="400"/>
      <c r="BZ422" s="155"/>
    </row>
    <row r="423" spans="1:78" s="151" customFormat="1" ht="40.5" customHeight="1" x14ac:dyDescent="0.25">
      <c r="A423" s="333">
        <v>422</v>
      </c>
      <c r="B423" s="150" t="s">
        <v>1813</v>
      </c>
      <c r="C423" s="150" t="s">
        <v>2500</v>
      </c>
      <c r="D423" s="152" t="s">
        <v>1556</v>
      </c>
      <c r="E423" s="327" t="s">
        <v>1560</v>
      </c>
      <c r="F423" s="327"/>
      <c r="G423" s="327"/>
      <c r="H423" s="327"/>
      <c r="I423" s="663">
        <v>1</v>
      </c>
      <c r="J423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423" s="631">
        <f>Таблица7[[#This Row],[Размер отряда минимум]]*1.25</f>
        <v>112.5</v>
      </c>
      <c r="L423" s="631">
        <f>Таблица7[[#This Row],[Размер отряда норма]]*1.5</f>
        <v>168.75</v>
      </c>
      <c r="M423" s="633">
        <f>Таблица7[[#This Row],[Размер отряда минимум]]*2.5</f>
        <v>225</v>
      </c>
      <c r="N423" s="633"/>
      <c r="O423" s="633"/>
      <c r="P423" s="633"/>
      <c r="Q423" s="633"/>
      <c r="R423" s="150" t="s">
        <v>1135</v>
      </c>
      <c r="S423" s="824" t="s">
        <v>2072</v>
      </c>
      <c r="T423" s="150" t="s">
        <v>975</v>
      </c>
      <c r="U423" s="908" t="s">
        <v>2616</v>
      </c>
      <c r="V423" s="910" t="s">
        <v>2599</v>
      </c>
      <c r="W423" s="150" t="s">
        <v>993</v>
      </c>
      <c r="X423" s="150" t="s">
        <v>994</v>
      </c>
      <c r="Y423" s="824" t="s">
        <v>1932</v>
      </c>
      <c r="Z423" s="152"/>
      <c r="AA423" s="152"/>
      <c r="AB423" s="150"/>
      <c r="AC423" s="150"/>
      <c r="AD423" s="340" t="s">
        <v>985</v>
      </c>
      <c r="AE423" s="340"/>
      <c r="AF423" s="150" t="s">
        <v>991</v>
      </c>
      <c r="AG423" s="150" t="s">
        <v>1951</v>
      </c>
      <c r="AH423" s="150" t="s">
        <v>985</v>
      </c>
      <c r="AI423" s="150"/>
      <c r="AJ423" s="150" t="s">
        <v>985</v>
      </c>
      <c r="AK423" s="150"/>
      <c r="AL423" s="210" t="s">
        <v>985</v>
      </c>
      <c r="AM423" s="150" t="s">
        <v>1136</v>
      </c>
      <c r="AN423" s="150" t="s">
        <v>1136</v>
      </c>
      <c r="AO423" s="824" t="s">
        <v>2072</v>
      </c>
      <c r="AP423" s="150" t="s">
        <v>2501</v>
      </c>
      <c r="AQ423" s="150" t="s">
        <v>2316</v>
      </c>
      <c r="AR423" s="150"/>
      <c r="AS423" s="150">
        <v>1500</v>
      </c>
      <c r="AT423" s="154">
        <v>1550</v>
      </c>
      <c r="AU423" s="405">
        <v>6</v>
      </c>
      <c r="AV423" s="405"/>
      <c r="AW423" s="405">
        <f>VLOOKUP(Таблица7[[#This Row],[Основное оружие]], Оружие[#All], 2, 0)</f>
        <v>1</v>
      </c>
      <c r="AX423" s="405" t="str">
        <f>IF(ISBLANK(Таблица7[[#This Row],[Дополнительное оружие]]),"", VLOOKUP(Таблица7[[#This Row],[Дополнительное оружие]], Оружие[#All], 2, 0))</f>
        <v/>
      </c>
      <c r="AY42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2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423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23" s="405">
        <f>VLOOKUP(Таблица7[[#This Row],[Основное оружие]], Оружие[#All], 3, 0)</f>
        <v>1</v>
      </c>
      <c r="BC423" s="405" t="str">
        <f>IF(ISBLANK(Таблица7[[#This Row],[Дополнительное оружие]]),"", VLOOKUP(Таблица7[[#This Row],[Дополнительное оружие]], Оружие[#All], 3, 0))</f>
        <v/>
      </c>
      <c r="BD42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2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2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2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2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3" s="405">
        <f>Таблица7[[#This Row],[Броня]]+Таблица7[[#This Row],[Щит]]+Таблица7[[#This Row],[навык защиты]]</f>
        <v>6</v>
      </c>
      <c r="BK423" s="1006"/>
      <c r="BL423" s="1006"/>
      <c r="BM423" s="400"/>
      <c r="BN423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23" s="400">
        <v>3</v>
      </c>
      <c r="BP423" s="400">
        <v>-1</v>
      </c>
      <c r="BQ423" s="550">
        <v>-2</v>
      </c>
      <c r="BR423" s="400">
        <v>-2</v>
      </c>
      <c r="BS423" s="400">
        <v>2</v>
      </c>
      <c r="BT423" s="400">
        <v>12</v>
      </c>
      <c r="BU423" s="1002" t="s">
        <v>1841</v>
      </c>
      <c r="BV423" s="1002" t="s">
        <v>1844</v>
      </c>
      <c r="BW423" s="400"/>
      <c r="BX423" s="400"/>
      <c r="BY423" s="400"/>
      <c r="BZ423" s="155"/>
    </row>
    <row r="424" spans="1:78" s="151" customFormat="1" ht="40.5" customHeight="1" x14ac:dyDescent="0.25">
      <c r="A424" s="333">
        <v>423</v>
      </c>
      <c r="B424" s="150" t="s">
        <v>1814</v>
      </c>
      <c r="C424" s="150" t="s">
        <v>2585</v>
      </c>
      <c r="D424" s="152" t="s">
        <v>1556</v>
      </c>
      <c r="E424" s="152" t="s">
        <v>1448</v>
      </c>
      <c r="F424" s="152"/>
      <c r="G424" s="152"/>
      <c r="H424" s="152"/>
      <c r="I424" s="663">
        <v>0.9</v>
      </c>
      <c r="J424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424" s="631">
        <f>Таблица7[[#This Row],[Размер отряда минимум]]*1.25</f>
        <v>101.25</v>
      </c>
      <c r="L424" s="631">
        <f>Таблица7[[#This Row],[Размер отряда норма]]*1.5</f>
        <v>151.875</v>
      </c>
      <c r="M424" s="633">
        <f>Таблица7[[#This Row],[Размер отряда минимум]]*2.5</f>
        <v>202.5</v>
      </c>
      <c r="N424" s="633"/>
      <c r="O424" s="633"/>
      <c r="P424" s="633"/>
      <c r="Q424" s="633"/>
      <c r="R424" s="152" t="s">
        <v>1135</v>
      </c>
      <c r="S424" s="824" t="s">
        <v>2072</v>
      </c>
      <c r="T424" s="152" t="s">
        <v>975</v>
      </c>
      <c r="U424" s="908" t="s">
        <v>2617</v>
      </c>
      <c r="V424" s="910" t="s">
        <v>2600</v>
      </c>
      <c r="W424" s="152" t="s">
        <v>993</v>
      </c>
      <c r="X424" s="152" t="s">
        <v>994</v>
      </c>
      <c r="Y424" s="824" t="s">
        <v>1932</v>
      </c>
      <c r="Z424" s="152"/>
      <c r="AA424" s="152"/>
      <c r="AB424" s="486"/>
      <c r="AC424" s="486"/>
      <c r="AD424" s="193" t="s">
        <v>1158</v>
      </c>
      <c r="AE424" s="193" t="s">
        <v>1962</v>
      </c>
      <c r="AF424" s="152" t="s">
        <v>1211</v>
      </c>
      <c r="AG424" s="152" t="s">
        <v>1963</v>
      </c>
      <c r="AH424" s="152" t="s">
        <v>985</v>
      </c>
      <c r="AI424" s="152"/>
      <c r="AJ424" s="193" t="s">
        <v>985</v>
      </c>
      <c r="AK424" s="193"/>
      <c r="AL424" s="210" t="s">
        <v>985</v>
      </c>
      <c r="AM424" s="152" t="s">
        <v>1136</v>
      </c>
      <c r="AN424" s="152" t="s">
        <v>1136</v>
      </c>
      <c r="AO424" s="824" t="s">
        <v>2072</v>
      </c>
      <c r="AP424" s="911" t="s">
        <v>2586</v>
      </c>
      <c r="AQ424" s="911" t="s">
        <v>2677</v>
      </c>
      <c r="AS424" s="151">
        <v>1500</v>
      </c>
      <c r="AT424" s="154">
        <v>1550</v>
      </c>
      <c r="AU424" s="405">
        <v>6</v>
      </c>
      <c r="AV424" s="405"/>
      <c r="AW424" s="405">
        <f>VLOOKUP(Таблица7[[#This Row],[Основное оружие]], Оружие[#All], 2, 0)</f>
        <v>1</v>
      </c>
      <c r="AX424" s="405" t="str">
        <f>IF(ISBLANK(Таблица7[[#This Row],[Дополнительное оружие]]),"", VLOOKUP(Таблица7[[#This Row],[Дополнительное оружие]], Оружие[#All], 2, 0))</f>
        <v/>
      </c>
      <c r="AY42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2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424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24" s="405">
        <f>VLOOKUP(Таблица7[[#This Row],[Основное оружие]], Оружие[#All], 3, 0)</f>
        <v>1</v>
      </c>
      <c r="BC424" s="405" t="str">
        <f>IF(ISBLANK(Таблица7[[#This Row],[Дополнительное оружие]]),"", VLOOKUP(Таблица7[[#This Row],[Дополнительное оружие]], Оружие[#All], 3, 0))</f>
        <v/>
      </c>
      <c r="BD42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2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2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2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2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4" s="405">
        <f>Таблица7[[#This Row],[Броня]]+Таблица7[[#This Row],[Щит]]+Таблица7[[#This Row],[навык защиты]]</f>
        <v>17</v>
      </c>
      <c r="BK424" s="1006"/>
      <c r="BL424" s="1006"/>
      <c r="BM424" s="400"/>
      <c r="BN424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24" s="400">
        <v>2</v>
      </c>
      <c r="BP424" s="400">
        <v>-1</v>
      </c>
      <c r="BQ424" s="400">
        <v>-1</v>
      </c>
      <c r="BR424" s="400">
        <v>-2</v>
      </c>
      <c r="BS424" s="400">
        <v>1</v>
      </c>
      <c r="BT424" s="400">
        <v>10</v>
      </c>
      <c r="BU424" s="1002" t="s">
        <v>1840</v>
      </c>
      <c r="BV424" s="1002" t="s">
        <v>1844</v>
      </c>
      <c r="BW424" s="400"/>
      <c r="BX424" s="400"/>
      <c r="BY424" s="400"/>
      <c r="BZ424" s="155"/>
    </row>
    <row r="425" spans="1:78" s="151" customFormat="1" ht="40.5" customHeight="1" x14ac:dyDescent="0.25">
      <c r="A425" s="333">
        <v>424</v>
      </c>
      <c r="B425" s="150" t="s">
        <v>1814</v>
      </c>
      <c r="C425" s="150" t="s">
        <v>2585</v>
      </c>
      <c r="D425" s="152" t="s">
        <v>1556</v>
      </c>
      <c r="E425" s="152" t="s">
        <v>1448</v>
      </c>
      <c r="F425" s="152"/>
      <c r="G425" s="152"/>
      <c r="H425" s="152"/>
      <c r="I425" s="663">
        <v>0.9</v>
      </c>
      <c r="J425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425" s="631">
        <f>Таблица7[[#This Row],[Размер отряда минимум]]*1.25</f>
        <v>112.5</v>
      </c>
      <c r="L425" s="631">
        <f>Таблица7[[#This Row],[Размер отряда норма]]*1.5</f>
        <v>168.75</v>
      </c>
      <c r="M425" s="633">
        <f>Таблица7[[#This Row],[Размер отряда минимум]]*2.5</f>
        <v>225</v>
      </c>
      <c r="N425" s="633"/>
      <c r="O425" s="633"/>
      <c r="P425" s="633"/>
      <c r="Q425" s="633"/>
      <c r="R425" s="152" t="s">
        <v>1135</v>
      </c>
      <c r="S425" s="824" t="s">
        <v>2072</v>
      </c>
      <c r="T425" s="152" t="s">
        <v>976</v>
      </c>
      <c r="U425" s="908" t="s">
        <v>2617</v>
      </c>
      <c r="V425" s="910" t="s">
        <v>2600</v>
      </c>
      <c r="W425" s="152" t="s">
        <v>993</v>
      </c>
      <c r="X425" s="152" t="s">
        <v>994</v>
      </c>
      <c r="Y425" s="824" t="s">
        <v>1932</v>
      </c>
      <c r="Z425" s="152"/>
      <c r="AA425" s="152"/>
      <c r="AB425" s="486"/>
      <c r="AC425" s="486"/>
      <c r="AD425" s="193" t="s">
        <v>1158</v>
      </c>
      <c r="AE425" s="193" t="s">
        <v>1962</v>
      </c>
      <c r="AF425" s="152" t="s">
        <v>1211</v>
      </c>
      <c r="AG425" s="152" t="s">
        <v>1963</v>
      </c>
      <c r="AH425" s="152" t="s">
        <v>985</v>
      </c>
      <c r="AI425" s="152"/>
      <c r="AJ425" s="193" t="s">
        <v>985</v>
      </c>
      <c r="AK425" s="193"/>
      <c r="AL425" s="210" t="s">
        <v>985</v>
      </c>
      <c r="AM425" s="152" t="s">
        <v>1136</v>
      </c>
      <c r="AN425" s="152" t="s">
        <v>1136</v>
      </c>
      <c r="AO425" s="824" t="s">
        <v>2072</v>
      </c>
      <c r="AP425" s="911" t="s">
        <v>2586</v>
      </c>
      <c r="AQ425" s="911" t="s">
        <v>2677</v>
      </c>
      <c r="AS425" s="151">
        <v>1550</v>
      </c>
      <c r="AT425" s="154"/>
      <c r="AU425" s="405">
        <v>3</v>
      </c>
      <c r="AV425" s="405"/>
      <c r="AW425" s="405">
        <f>VLOOKUP(Таблица7[[#This Row],[Основное оружие]], Оружие[#All], 2, 0)</f>
        <v>1</v>
      </c>
      <c r="AX425" s="405" t="str">
        <f>IF(ISBLANK(Таблица7[[#This Row],[Дополнительное оружие]]),"", VLOOKUP(Таблица7[[#This Row],[Дополнительное оружие]], Оружие[#All], 2, 0))</f>
        <v/>
      </c>
      <c r="AY42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</v>
      </c>
      <c r="AZ42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2</v>
      </c>
      <c r="BA425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25" s="405">
        <f>VLOOKUP(Таблица7[[#This Row],[Основное оружие]], Оружие[#All], 3, 0)</f>
        <v>1</v>
      </c>
      <c r="BC425" s="405" t="str">
        <f>IF(ISBLANK(Таблица7[[#This Row],[Дополнительное оружие]]),"", VLOOKUP(Таблица7[[#This Row],[Дополнительное оружие]], Оружие[#All], 3, 0))</f>
        <v/>
      </c>
      <c r="BD42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2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2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2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42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5" s="405">
        <f>Таблица7[[#This Row],[Броня]]+Таблица7[[#This Row],[Щит]]+Таблица7[[#This Row],[навык защиты]]</f>
        <v>14</v>
      </c>
      <c r="BK425" s="1006"/>
      <c r="BL425" s="1006"/>
      <c r="BM425" s="400"/>
      <c r="BN425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25" s="400">
        <v>2</v>
      </c>
      <c r="BP425" s="400">
        <v>-1</v>
      </c>
      <c r="BQ425" s="400">
        <v>-1</v>
      </c>
      <c r="BR425" s="400">
        <v>-2</v>
      </c>
      <c r="BS425" s="400">
        <v>1</v>
      </c>
      <c r="BT425" s="400">
        <v>7</v>
      </c>
      <c r="BU425" s="1002" t="s">
        <v>1576</v>
      </c>
      <c r="BV425" s="1002" t="s">
        <v>1843</v>
      </c>
      <c r="BW425" s="400"/>
      <c r="BX425" s="400"/>
      <c r="BY425" s="400"/>
      <c r="BZ425" s="155"/>
    </row>
    <row r="426" spans="1:78" s="151" customFormat="1" ht="40.5" customHeight="1" x14ac:dyDescent="0.25">
      <c r="A426" s="333">
        <v>425</v>
      </c>
      <c r="B426" s="150" t="s">
        <v>1815</v>
      </c>
      <c r="C426" s="150" t="s">
        <v>2587</v>
      </c>
      <c r="D426" s="152" t="s">
        <v>1556</v>
      </c>
      <c r="E426" s="152" t="s">
        <v>1448</v>
      </c>
      <c r="F426" s="152"/>
      <c r="G426" s="152"/>
      <c r="H426" s="152"/>
      <c r="I426" s="663">
        <v>0.9</v>
      </c>
      <c r="J426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426" s="631">
        <f>Таблица7[[#This Row],[Размер отряда минимум]]*1.25</f>
        <v>101.25</v>
      </c>
      <c r="L426" s="631">
        <f>Таблица7[[#This Row],[Размер отряда норма]]*1.5</f>
        <v>151.875</v>
      </c>
      <c r="M426" s="633">
        <f>Таблица7[[#This Row],[Размер отряда минимум]]*2.5</f>
        <v>202.5</v>
      </c>
      <c r="N426" s="633"/>
      <c r="O426" s="633"/>
      <c r="P426" s="633"/>
      <c r="Q426" s="633"/>
      <c r="R426" s="152" t="s">
        <v>1135</v>
      </c>
      <c r="S426" s="824" t="s">
        <v>2072</v>
      </c>
      <c r="T426" s="152" t="s">
        <v>975</v>
      </c>
      <c r="U426" s="908" t="s">
        <v>2618</v>
      </c>
      <c r="V426" s="910" t="s">
        <v>2601</v>
      </c>
      <c r="W426" s="152" t="s">
        <v>993</v>
      </c>
      <c r="X426" s="152" t="s">
        <v>996</v>
      </c>
      <c r="Y426" s="911" t="s">
        <v>1973</v>
      </c>
      <c r="Z426" s="152"/>
      <c r="AA426" s="152"/>
      <c r="AB426" s="152"/>
      <c r="AC426" s="152"/>
      <c r="AD426" s="193" t="s">
        <v>1158</v>
      </c>
      <c r="AE426" s="193" t="s">
        <v>1962</v>
      </c>
      <c r="AF426" s="152" t="s">
        <v>1211</v>
      </c>
      <c r="AG426" s="152" t="s">
        <v>1963</v>
      </c>
      <c r="AH426" s="152" t="s">
        <v>985</v>
      </c>
      <c r="AI426" s="152"/>
      <c r="AJ426" s="193" t="s">
        <v>985</v>
      </c>
      <c r="AK426" s="193"/>
      <c r="AL426" s="210" t="s">
        <v>985</v>
      </c>
      <c r="AM426" s="152" t="s">
        <v>1136</v>
      </c>
      <c r="AN426" s="152" t="s">
        <v>1136</v>
      </c>
      <c r="AO426" s="824" t="s">
        <v>2072</v>
      </c>
      <c r="AP426" s="911" t="s">
        <v>2586</v>
      </c>
      <c r="AQ426" s="911" t="s">
        <v>2677</v>
      </c>
      <c r="AS426" s="151">
        <v>1500</v>
      </c>
      <c r="AT426" s="154">
        <v>1550</v>
      </c>
      <c r="AU426" s="405">
        <v>6</v>
      </c>
      <c r="AV426" s="405"/>
      <c r="AW426" s="405">
        <f>VLOOKUP(Таблица7[[#This Row],[Основное оружие]], Оружие[#All], 2, 0)</f>
        <v>7</v>
      </c>
      <c r="AX426" s="405" t="str">
        <f>IF(ISBLANK(Таблица7[[#This Row],[Дополнительное оружие]]),"", VLOOKUP(Таблица7[[#This Row],[Дополнительное оружие]], Оружие[#All], 2, 0))</f>
        <v/>
      </c>
      <c r="AY42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2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42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26" s="405">
        <f>VLOOKUP(Таблица7[[#This Row],[Основное оружие]], Оружие[#All], 3, 0)</f>
        <v>3</v>
      </c>
      <c r="BC426" s="405" t="str">
        <f>IF(ISBLANK(Таблица7[[#This Row],[Дополнительное оружие]]),"", VLOOKUP(Таблица7[[#This Row],[Дополнительное оружие]], Оружие[#All], 3, 0))</f>
        <v/>
      </c>
      <c r="BD42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2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2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2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2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6" s="405">
        <f>Таблица7[[#This Row],[Броня]]+Таблица7[[#This Row],[Щит]]+Таблица7[[#This Row],[навык защиты]]</f>
        <v>19</v>
      </c>
      <c r="BK426" s="1006"/>
      <c r="BL426" s="1006"/>
      <c r="BM426" s="400"/>
      <c r="BN426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26" s="400">
        <v>2</v>
      </c>
      <c r="BP426" s="400">
        <v>0</v>
      </c>
      <c r="BQ426" s="400">
        <v>-1</v>
      </c>
      <c r="BR426" s="400">
        <v>-1</v>
      </c>
      <c r="BS426" s="400">
        <v>1</v>
      </c>
      <c r="BT426" s="400">
        <v>10</v>
      </c>
      <c r="BU426" s="1002" t="s">
        <v>1840</v>
      </c>
      <c r="BV426" s="1002" t="s">
        <v>1844</v>
      </c>
      <c r="BW426" s="400"/>
      <c r="BX426" s="400"/>
      <c r="BY426" s="400"/>
      <c r="BZ426" s="155"/>
    </row>
    <row r="427" spans="1:78" s="151" customFormat="1" ht="40.5" customHeight="1" x14ac:dyDescent="0.25">
      <c r="A427" s="333">
        <v>426</v>
      </c>
      <c r="B427" s="150" t="s">
        <v>1816</v>
      </c>
      <c r="C427" s="150" t="s">
        <v>2588</v>
      </c>
      <c r="D427" s="152" t="s">
        <v>1556</v>
      </c>
      <c r="E427" s="152" t="s">
        <v>1547</v>
      </c>
      <c r="F427" s="152"/>
      <c r="G427" s="152"/>
      <c r="H427" s="152"/>
      <c r="I427" s="663">
        <v>0.9</v>
      </c>
      <c r="J427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427" s="631">
        <f>Таблица7[[#This Row],[Размер отряда минимум]]*1.25</f>
        <v>101.25</v>
      </c>
      <c r="L427" s="631">
        <f>Таблица7[[#This Row],[Размер отряда норма]]*1.5</f>
        <v>151.875</v>
      </c>
      <c r="M427" s="633">
        <f>Таблица7[[#This Row],[Размер отряда минимум]]*2.5</f>
        <v>202.5</v>
      </c>
      <c r="N427" s="633"/>
      <c r="O427" s="633"/>
      <c r="P427" s="633"/>
      <c r="Q427" s="633"/>
      <c r="R427" s="152" t="s">
        <v>1135</v>
      </c>
      <c r="S427" s="824" t="s">
        <v>2072</v>
      </c>
      <c r="T427" s="152" t="s">
        <v>976</v>
      </c>
      <c r="U427" s="908" t="s">
        <v>2619</v>
      </c>
      <c r="V427" s="910" t="s">
        <v>2602</v>
      </c>
      <c r="W427" s="152" t="s">
        <v>993</v>
      </c>
      <c r="X427" s="152" t="s">
        <v>996</v>
      </c>
      <c r="Y427" s="911" t="s">
        <v>1973</v>
      </c>
      <c r="Z427" s="152"/>
      <c r="AA427" s="152"/>
      <c r="AB427" s="152"/>
      <c r="AC427" s="152"/>
      <c r="AD427" s="193" t="s">
        <v>1482</v>
      </c>
      <c r="AE427" s="193" t="s">
        <v>1975</v>
      </c>
      <c r="AF427" s="152" t="s">
        <v>1481</v>
      </c>
      <c r="AG427" s="152" t="s">
        <v>1978</v>
      </c>
      <c r="AH427" s="152" t="s">
        <v>985</v>
      </c>
      <c r="AI427" s="152"/>
      <c r="AJ427" s="516" t="s">
        <v>985</v>
      </c>
      <c r="AK427" s="516"/>
      <c r="AL427" s="210" t="s">
        <v>985</v>
      </c>
      <c r="AM427" s="152" t="s">
        <v>1136</v>
      </c>
      <c r="AN427" s="152" t="s">
        <v>1136</v>
      </c>
      <c r="AO427" s="824" t="s">
        <v>2072</v>
      </c>
      <c r="AP427" s="911" t="s">
        <v>2586</v>
      </c>
      <c r="AQ427" s="911" t="s">
        <v>2677</v>
      </c>
      <c r="AS427" s="151">
        <v>1550</v>
      </c>
      <c r="AT427" s="154"/>
      <c r="AU427" s="405">
        <v>4</v>
      </c>
      <c r="AV427" s="405"/>
      <c r="AW427" s="405">
        <f>VLOOKUP(Таблица7[[#This Row],[Основное оружие]], Оружие[#All], 2, 0)</f>
        <v>7</v>
      </c>
      <c r="AX427" s="405" t="str">
        <f>IF(ISBLANK(Таблица7[[#This Row],[Дополнительное оружие]]),"", VLOOKUP(Таблица7[[#This Row],[Дополнительное оружие]], Оружие[#All], 2, 0))</f>
        <v/>
      </c>
      <c r="AY42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42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42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27" s="405">
        <f>VLOOKUP(Таблица7[[#This Row],[Основное оружие]], Оружие[#All], 3, 0)</f>
        <v>3</v>
      </c>
      <c r="BC427" s="405" t="str">
        <f>IF(ISBLANK(Таблица7[[#This Row],[Дополнительное оружие]]),"", VLOOKUP(Таблица7[[#This Row],[Дополнительное оружие]], Оружие[#All], 3, 0))</f>
        <v/>
      </c>
      <c r="BD42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42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42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2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2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7" s="405">
        <f>Таблица7[[#This Row],[Броня]]+Таблица7[[#This Row],[Щит]]+Таблица7[[#This Row],[навык защиты]]</f>
        <v>21</v>
      </c>
      <c r="BK427" s="1006"/>
      <c r="BL427" s="1006"/>
      <c r="BM427" s="400"/>
      <c r="BN427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27" s="400">
        <v>2</v>
      </c>
      <c r="BP427" s="400">
        <v>0</v>
      </c>
      <c r="BQ427" s="400">
        <v>-1</v>
      </c>
      <c r="BR427" s="400">
        <v>-1</v>
      </c>
      <c r="BS427" s="400">
        <v>1</v>
      </c>
      <c r="BT427" s="400">
        <v>8</v>
      </c>
      <c r="BU427" s="1002" t="s">
        <v>1576</v>
      </c>
      <c r="BV427" s="1002" t="s">
        <v>1843</v>
      </c>
      <c r="BW427" s="400"/>
      <c r="BX427" s="400"/>
      <c r="BY427" s="400"/>
      <c r="BZ427" s="155"/>
    </row>
    <row r="428" spans="1:78" s="151" customFormat="1" ht="40.5" customHeight="1" x14ac:dyDescent="0.25">
      <c r="A428" s="333">
        <v>427</v>
      </c>
      <c r="B428" s="150" t="s">
        <v>1817</v>
      </c>
      <c r="C428" s="150" t="s">
        <v>2589</v>
      </c>
      <c r="D428" s="152" t="s">
        <v>1556</v>
      </c>
      <c r="E428" s="152" t="s">
        <v>1562</v>
      </c>
      <c r="F428" s="152"/>
      <c r="G428" s="152"/>
      <c r="H428" s="152"/>
      <c r="I428" s="663">
        <v>0.9</v>
      </c>
      <c r="J428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72</v>
      </c>
      <c r="K428" s="631">
        <f>Таблица7[[#This Row],[Размер отряда минимум]]*1.25</f>
        <v>90</v>
      </c>
      <c r="L428" s="631">
        <f>Таблица7[[#This Row],[Размер отряда норма]]*1.5</f>
        <v>135</v>
      </c>
      <c r="M428" s="633">
        <f>Таблица7[[#This Row],[Размер отряда минимум]]*2.5</f>
        <v>180</v>
      </c>
      <c r="N428" s="633"/>
      <c r="O428" s="633"/>
      <c r="P428" s="633"/>
      <c r="Q428" s="633"/>
      <c r="R428" s="152" t="s">
        <v>1135</v>
      </c>
      <c r="S428" s="824" t="s">
        <v>2072</v>
      </c>
      <c r="T428" s="152" t="s">
        <v>975</v>
      </c>
      <c r="U428" s="908" t="s">
        <v>2620</v>
      </c>
      <c r="V428" s="910" t="s">
        <v>2603</v>
      </c>
      <c r="W428" s="193" t="s">
        <v>993</v>
      </c>
      <c r="X428" s="152" t="s">
        <v>994</v>
      </c>
      <c r="Y428" s="824" t="s">
        <v>1932</v>
      </c>
      <c r="Z428" s="152"/>
      <c r="AA428" s="152"/>
      <c r="AB428" s="152"/>
      <c r="AC428" s="152"/>
      <c r="AD428" s="193" t="s">
        <v>1482</v>
      </c>
      <c r="AE428" s="193" t="s">
        <v>1975</v>
      </c>
      <c r="AF428" s="152" t="s">
        <v>1481</v>
      </c>
      <c r="AG428" s="152" t="s">
        <v>1978</v>
      </c>
      <c r="AH428" s="152" t="s">
        <v>985</v>
      </c>
      <c r="AI428" s="152"/>
      <c r="AJ428" s="516" t="s">
        <v>985</v>
      </c>
      <c r="AK428" s="516"/>
      <c r="AL428" s="210" t="s">
        <v>985</v>
      </c>
      <c r="AM428" s="152" t="s">
        <v>1136</v>
      </c>
      <c r="AN428" s="152" t="s">
        <v>1136</v>
      </c>
      <c r="AO428" s="824" t="s">
        <v>2072</v>
      </c>
      <c r="AP428" s="911" t="s">
        <v>2586</v>
      </c>
      <c r="AQ428" s="911" t="s">
        <v>2677</v>
      </c>
      <c r="AS428" s="151">
        <v>1500</v>
      </c>
      <c r="AT428" s="154">
        <v>1550</v>
      </c>
      <c r="AU428" s="405">
        <v>7</v>
      </c>
      <c r="AV428" s="405"/>
      <c r="AW428" s="405">
        <f>VLOOKUP(Таблица7[[#This Row],[Основное оружие]], Оружие[#All], 2, 0)</f>
        <v>1</v>
      </c>
      <c r="AX428" s="405" t="str">
        <f>IF(ISBLANK(Таблица7[[#This Row],[Дополнительное оружие]]),"", VLOOKUP(Таблица7[[#This Row],[Дополнительное оружие]], Оружие[#All], 2, 0))</f>
        <v/>
      </c>
      <c r="AY42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2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428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28" s="405">
        <f>VLOOKUP(Таблица7[[#This Row],[Основное оружие]], Оружие[#All], 3, 0)</f>
        <v>1</v>
      </c>
      <c r="BC428" s="405" t="str">
        <f>IF(ISBLANK(Таблица7[[#This Row],[Дополнительное оружие]]),"", VLOOKUP(Таблица7[[#This Row],[Дополнительное оружие]], Оружие[#All], 3, 0))</f>
        <v/>
      </c>
      <c r="BD42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42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42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2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2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8" s="405">
        <f>Таблица7[[#This Row],[Броня]]+Таблица7[[#This Row],[Щит]]+Таблица7[[#This Row],[навык защиты]]</f>
        <v>22</v>
      </c>
      <c r="BK428" s="1006"/>
      <c r="BL428" s="1006"/>
      <c r="BM428" s="400"/>
      <c r="BN428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28" s="400">
        <v>2</v>
      </c>
      <c r="BP428" s="400">
        <v>-1</v>
      </c>
      <c r="BQ428" s="400">
        <v>-1</v>
      </c>
      <c r="BR428" s="400">
        <v>-2</v>
      </c>
      <c r="BS428" s="400">
        <v>1</v>
      </c>
      <c r="BT428" s="400">
        <v>10</v>
      </c>
      <c r="BU428" s="1002" t="s">
        <v>1840</v>
      </c>
      <c r="BV428" s="1002" t="s">
        <v>1844</v>
      </c>
      <c r="BW428" s="400"/>
      <c r="BX428" s="400"/>
      <c r="BY428" s="400"/>
      <c r="BZ428" s="155"/>
    </row>
    <row r="429" spans="1:78" s="151" customFormat="1" ht="40.5" customHeight="1" x14ac:dyDescent="0.25">
      <c r="A429" s="333">
        <v>428</v>
      </c>
      <c r="B429" s="150" t="s">
        <v>1817</v>
      </c>
      <c r="C429" s="150" t="s">
        <v>2589</v>
      </c>
      <c r="D429" s="152" t="s">
        <v>1556</v>
      </c>
      <c r="E429" s="152" t="s">
        <v>1562</v>
      </c>
      <c r="F429" s="152"/>
      <c r="G429" s="152"/>
      <c r="H429" s="152"/>
      <c r="I429" s="663">
        <v>0.9</v>
      </c>
      <c r="J429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429" s="631">
        <f>Таблица7[[#This Row],[Размер отряда минимум]]*1.25</f>
        <v>101.25</v>
      </c>
      <c r="L429" s="631">
        <f>Таблица7[[#This Row],[Размер отряда норма]]*1.5</f>
        <v>151.875</v>
      </c>
      <c r="M429" s="633">
        <f>Таблица7[[#This Row],[Размер отряда минимум]]*2.5</f>
        <v>202.5</v>
      </c>
      <c r="N429" s="633"/>
      <c r="O429" s="633"/>
      <c r="P429" s="633"/>
      <c r="Q429" s="633"/>
      <c r="R429" s="152" t="s">
        <v>1135</v>
      </c>
      <c r="S429" s="824" t="s">
        <v>2072</v>
      </c>
      <c r="T429" s="152" t="s">
        <v>976</v>
      </c>
      <c r="U429" s="908" t="s">
        <v>2620</v>
      </c>
      <c r="V429" s="910" t="s">
        <v>2603</v>
      </c>
      <c r="W429" s="152" t="s">
        <v>993</v>
      </c>
      <c r="X429" s="152" t="s">
        <v>994</v>
      </c>
      <c r="Y429" s="824" t="s">
        <v>1932</v>
      </c>
      <c r="Z429" s="152"/>
      <c r="AA429" s="152"/>
      <c r="AB429" s="152"/>
      <c r="AC429" s="152"/>
      <c r="AD429" s="193" t="s">
        <v>1482</v>
      </c>
      <c r="AE429" s="193" t="s">
        <v>1975</v>
      </c>
      <c r="AF429" s="152" t="s">
        <v>1481</v>
      </c>
      <c r="AG429" s="152" t="s">
        <v>1978</v>
      </c>
      <c r="AH429" s="152" t="s">
        <v>985</v>
      </c>
      <c r="AI429" s="152"/>
      <c r="AJ429" s="516" t="s">
        <v>985</v>
      </c>
      <c r="AK429" s="516"/>
      <c r="AL429" s="210" t="s">
        <v>985</v>
      </c>
      <c r="AM429" s="152" t="s">
        <v>1136</v>
      </c>
      <c r="AN429" s="152" t="s">
        <v>1136</v>
      </c>
      <c r="AO429" s="824" t="s">
        <v>2072</v>
      </c>
      <c r="AP429" s="911" t="s">
        <v>2586</v>
      </c>
      <c r="AQ429" s="911" t="s">
        <v>2677</v>
      </c>
      <c r="AS429" s="151">
        <v>1550</v>
      </c>
      <c r="AT429" s="154"/>
      <c r="AU429" s="405">
        <v>4</v>
      </c>
      <c r="AV429" s="405"/>
      <c r="AW429" s="405">
        <f>VLOOKUP(Таблица7[[#This Row],[Основное оружие]], Оружие[#All], 2, 0)</f>
        <v>1</v>
      </c>
      <c r="AX429" s="405" t="str">
        <f>IF(ISBLANK(Таблица7[[#This Row],[Дополнительное оружие]]),"", VLOOKUP(Таблица7[[#This Row],[Дополнительное оружие]], Оружие[#All], 2, 0))</f>
        <v/>
      </c>
      <c r="AY42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</v>
      </c>
      <c r="AZ42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2</v>
      </c>
      <c r="BA429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29" s="405">
        <f>VLOOKUP(Таблица7[[#This Row],[Основное оружие]], Оружие[#All], 3, 0)</f>
        <v>1</v>
      </c>
      <c r="BC429" s="405" t="str">
        <f>IF(ISBLANK(Таблица7[[#This Row],[Дополнительное оружие]]),"", VLOOKUP(Таблица7[[#This Row],[Дополнительное оружие]], Оружие[#All], 3, 0))</f>
        <v/>
      </c>
      <c r="BD42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42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42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2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2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42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29" s="405">
        <f>Таблица7[[#This Row],[Броня]]+Таблица7[[#This Row],[Щит]]+Таблица7[[#This Row],[навык защиты]]</f>
        <v>19</v>
      </c>
      <c r="BK429" s="1006"/>
      <c r="BL429" s="1006"/>
      <c r="BM429" s="400"/>
      <c r="BN429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29" s="400">
        <v>2</v>
      </c>
      <c r="BP429" s="400">
        <v>-1</v>
      </c>
      <c r="BQ429" s="400">
        <v>-1</v>
      </c>
      <c r="BR429" s="400">
        <v>-2</v>
      </c>
      <c r="BS429" s="400">
        <v>1</v>
      </c>
      <c r="BT429" s="400">
        <v>8</v>
      </c>
      <c r="BU429" s="1002" t="s">
        <v>1576</v>
      </c>
      <c r="BV429" s="1002" t="s">
        <v>1843</v>
      </c>
      <c r="BW429" s="400"/>
      <c r="BX429" s="400"/>
      <c r="BY429" s="400"/>
      <c r="BZ429" s="155"/>
    </row>
    <row r="430" spans="1:78" s="151" customFormat="1" ht="40.5" customHeight="1" x14ac:dyDescent="0.25">
      <c r="A430" s="333">
        <v>429</v>
      </c>
      <c r="B430" s="150" t="s">
        <v>1818</v>
      </c>
      <c r="C430" s="150" t="s">
        <v>2590</v>
      </c>
      <c r="D430" s="152" t="s">
        <v>1556</v>
      </c>
      <c r="E430" s="152" t="s">
        <v>1547</v>
      </c>
      <c r="F430" s="152"/>
      <c r="G430" s="152"/>
      <c r="H430" s="152"/>
      <c r="I430" s="663">
        <v>0.3</v>
      </c>
      <c r="J430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430" s="631">
        <f>Таблица7[[#This Row],[Размер отряда минимум]]*1.25</f>
        <v>30</v>
      </c>
      <c r="L430" s="631">
        <f>Таблица7[[#This Row],[Размер отряда норма]]*1.5</f>
        <v>45</v>
      </c>
      <c r="M430" s="633">
        <f>Таблица7[[#This Row],[Размер отряда минимум]]*2.5</f>
        <v>60</v>
      </c>
      <c r="N430" s="633"/>
      <c r="O430" s="633"/>
      <c r="P430" s="633"/>
      <c r="Q430" s="633"/>
      <c r="R430" s="152" t="s">
        <v>1135</v>
      </c>
      <c r="S430" s="824" t="s">
        <v>2072</v>
      </c>
      <c r="T430" s="152" t="s">
        <v>975</v>
      </c>
      <c r="U430" s="908" t="s">
        <v>2621</v>
      </c>
      <c r="V430" s="910" t="s">
        <v>2604</v>
      </c>
      <c r="W430" s="152" t="s">
        <v>993</v>
      </c>
      <c r="X430" s="282" t="s">
        <v>1208</v>
      </c>
      <c r="Y430" s="911" t="s">
        <v>1936</v>
      </c>
      <c r="Z430" s="282"/>
      <c r="AA430" s="282"/>
      <c r="AB430" s="282"/>
      <c r="AC430" s="282"/>
      <c r="AD430" s="193" t="s">
        <v>1482</v>
      </c>
      <c r="AE430" s="193" t="s">
        <v>1975</v>
      </c>
      <c r="AF430" s="152" t="s">
        <v>1481</v>
      </c>
      <c r="AG430" s="152" t="s">
        <v>1978</v>
      </c>
      <c r="AH430" s="152" t="s">
        <v>985</v>
      </c>
      <c r="AI430" s="152"/>
      <c r="AJ430" s="152" t="s">
        <v>1004</v>
      </c>
      <c r="AK430" s="911" t="s">
        <v>1952</v>
      </c>
      <c r="AL430" s="210" t="s">
        <v>985</v>
      </c>
      <c r="AM430" s="152" t="s">
        <v>1136</v>
      </c>
      <c r="AN430" s="152" t="s">
        <v>1136</v>
      </c>
      <c r="AO430" s="824" t="s">
        <v>2072</v>
      </c>
      <c r="AP430" s="911" t="s">
        <v>2586</v>
      </c>
      <c r="AQ430" s="911" t="s">
        <v>2677</v>
      </c>
      <c r="AS430" s="151">
        <v>1500</v>
      </c>
      <c r="AT430" s="154">
        <v>1550</v>
      </c>
      <c r="AU430" s="405">
        <v>7</v>
      </c>
      <c r="AV430" s="405"/>
      <c r="AW430" s="405">
        <f>VLOOKUP(Таблица7[[#This Row],[Основное оружие]], Оружие[#All], 2, 0)</f>
        <v>8</v>
      </c>
      <c r="AX430" s="405" t="str">
        <f>IF(ISBLANK(Таблица7[[#This Row],[Дополнительное оружие]]),"", VLOOKUP(Таблица7[[#This Row],[Дополнительное оружие]], Оружие[#All], 2, 0))</f>
        <v/>
      </c>
      <c r="AY43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3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43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30" s="405">
        <f>VLOOKUP(Таблица7[[#This Row],[Основное оружие]], Оружие[#All], 3, 0)</f>
        <v>8</v>
      </c>
      <c r="BC430" s="405" t="str">
        <f>IF(ISBLANK(Таблица7[[#This Row],[Дополнительное оружие]]),"", VLOOKUP(Таблица7[[#This Row],[Дополнительное оружие]], Оружие[#All], 3, 0))</f>
        <v/>
      </c>
      <c r="BD43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43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43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3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3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0" s="405">
        <f>Таблица7[[#This Row],[Броня]]+Таблица7[[#This Row],[Щит]]+Таблица7[[#This Row],[навык защиты]]</f>
        <v>24</v>
      </c>
      <c r="BK430" s="1006"/>
      <c r="BL430" s="1006"/>
      <c r="BM430" s="400"/>
      <c r="BN430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30" s="400">
        <v>2</v>
      </c>
      <c r="BP430" s="400">
        <v>0</v>
      </c>
      <c r="BQ430" s="400">
        <v>-1</v>
      </c>
      <c r="BR430" s="400">
        <v>0</v>
      </c>
      <c r="BS430" s="400">
        <v>1</v>
      </c>
      <c r="BT430" s="400">
        <v>10</v>
      </c>
      <c r="BU430" s="1002" t="s">
        <v>1840</v>
      </c>
      <c r="BV430" s="1002" t="s">
        <v>1844</v>
      </c>
      <c r="BW430" s="400"/>
      <c r="BX430" s="400"/>
      <c r="BY430" s="400"/>
      <c r="BZ430" s="155"/>
    </row>
    <row r="431" spans="1:78" s="151" customFormat="1" ht="40.5" customHeight="1" x14ac:dyDescent="0.25">
      <c r="A431" s="333">
        <v>430</v>
      </c>
      <c r="B431" s="150" t="s">
        <v>1818</v>
      </c>
      <c r="C431" s="150" t="s">
        <v>2590</v>
      </c>
      <c r="D431" s="152" t="s">
        <v>1556</v>
      </c>
      <c r="E431" s="152" t="s">
        <v>1547</v>
      </c>
      <c r="F431" s="152"/>
      <c r="G431" s="152"/>
      <c r="H431" s="152"/>
      <c r="I431" s="663">
        <v>0.3</v>
      </c>
      <c r="J431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431" s="631">
        <f>Таблица7[[#This Row],[Размер отряда минимум]]*1.25</f>
        <v>33.75</v>
      </c>
      <c r="L431" s="631">
        <f>Таблица7[[#This Row],[Размер отряда норма]]*1.5</f>
        <v>50.625</v>
      </c>
      <c r="M431" s="633">
        <f>Таблица7[[#This Row],[Размер отряда минимум]]*2.5</f>
        <v>67.5</v>
      </c>
      <c r="N431" s="633"/>
      <c r="O431" s="633"/>
      <c r="P431" s="633"/>
      <c r="Q431" s="633"/>
      <c r="R431" s="152" t="s">
        <v>1135</v>
      </c>
      <c r="S431" s="824" t="s">
        <v>2072</v>
      </c>
      <c r="T431" s="152" t="s">
        <v>976</v>
      </c>
      <c r="U431" s="908" t="s">
        <v>2621</v>
      </c>
      <c r="V431" s="910" t="s">
        <v>2604</v>
      </c>
      <c r="W431" s="152" t="s">
        <v>993</v>
      </c>
      <c r="X431" s="282" t="s">
        <v>1208</v>
      </c>
      <c r="Y431" s="911" t="s">
        <v>1936</v>
      </c>
      <c r="Z431" s="282"/>
      <c r="AA431" s="282"/>
      <c r="AB431" s="282"/>
      <c r="AC431" s="282"/>
      <c r="AD431" s="193" t="s">
        <v>1482</v>
      </c>
      <c r="AE431" s="193" t="s">
        <v>1975</v>
      </c>
      <c r="AF431" s="152" t="s">
        <v>1481</v>
      </c>
      <c r="AG431" s="152" t="s">
        <v>1978</v>
      </c>
      <c r="AH431" s="152" t="s">
        <v>985</v>
      </c>
      <c r="AI431" s="152"/>
      <c r="AJ431" s="152" t="s">
        <v>1048</v>
      </c>
      <c r="AK431" s="911" t="s">
        <v>2031</v>
      </c>
      <c r="AL431" s="210" t="s">
        <v>985</v>
      </c>
      <c r="AM431" s="152" t="s">
        <v>1136</v>
      </c>
      <c r="AN431" s="152" t="s">
        <v>1136</v>
      </c>
      <c r="AO431" s="824" t="s">
        <v>2072</v>
      </c>
      <c r="AP431" s="911" t="s">
        <v>2586</v>
      </c>
      <c r="AQ431" s="911" t="s">
        <v>2677</v>
      </c>
      <c r="AS431" s="151">
        <v>1550</v>
      </c>
      <c r="AT431" s="154"/>
      <c r="AU431" s="405">
        <v>4</v>
      </c>
      <c r="AV431" s="405"/>
      <c r="AW431" s="405">
        <f>VLOOKUP(Таблица7[[#This Row],[Основное оружие]], Оружие[#All], 2, 0)</f>
        <v>8</v>
      </c>
      <c r="AX431" s="405" t="str">
        <f>IF(ISBLANK(Таблица7[[#This Row],[Дополнительное оружие]]),"", VLOOKUP(Таблица7[[#This Row],[Дополнительное оружие]], Оружие[#All], 2, 0))</f>
        <v/>
      </c>
      <c r="AY43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43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43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31" s="405">
        <f>VLOOKUP(Таблица7[[#This Row],[Основное оружие]], Оружие[#All], 3, 0)</f>
        <v>8</v>
      </c>
      <c r="BC431" s="405" t="str">
        <f>IF(ISBLANK(Таблица7[[#This Row],[Дополнительное оружие]]),"", VLOOKUP(Таблица7[[#This Row],[Дополнительное оружие]], Оружие[#All], 3, 0))</f>
        <v/>
      </c>
      <c r="BD43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43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43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43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3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1" s="405">
        <f>Таблица7[[#This Row],[Броня]]+Таблица7[[#This Row],[Щит]]+Таблица7[[#This Row],[навык защиты]]</f>
        <v>21</v>
      </c>
      <c r="BK431" s="1006"/>
      <c r="BL431" s="1006"/>
      <c r="BM431" s="400"/>
      <c r="BN431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31" s="400">
        <v>2</v>
      </c>
      <c r="BP431" s="400">
        <v>0</v>
      </c>
      <c r="BQ431" s="400">
        <v>-1</v>
      </c>
      <c r="BR431" s="400">
        <v>0</v>
      </c>
      <c r="BS431" s="400">
        <v>1</v>
      </c>
      <c r="BT431" s="400">
        <v>8</v>
      </c>
      <c r="BU431" s="1002" t="s">
        <v>1576</v>
      </c>
      <c r="BV431" s="1002" t="s">
        <v>1843</v>
      </c>
      <c r="BW431" s="400"/>
      <c r="BX431" s="400"/>
      <c r="BY431" s="400"/>
      <c r="BZ431" s="155"/>
    </row>
    <row r="432" spans="1:78" s="151" customFormat="1" ht="40.5" customHeight="1" x14ac:dyDescent="0.25">
      <c r="A432" s="333">
        <v>431</v>
      </c>
      <c r="B432" s="150" t="s">
        <v>1392</v>
      </c>
      <c r="C432" s="150" t="s">
        <v>2591</v>
      </c>
      <c r="D432" s="152" t="s">
        <v>1556</v>
      </c>
      <c r="E432" s="152" t="s">
        <v>1547</v>
      </c>
      <c r="F432" s="152"/>
      <c r="G432" s="152"/>
      <c r="H432" s="152"/>
      <c r="I432" s="663">
        <v>0.3</v>
      </c>
      <c r="J432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432" s="631">
        <f>Таблица7[[#This Row],[Размер отряда минимум]]*1.25</f>
        <v>30</v>
      </c>
      <c r="L432" s="631">
        <f>Таблица7[[#This Row],[Размер отряда норма]]*1.5</f>
        <v>45</v>
      </c>
      <c r="M432" s="633">
        <f>Таблица7[[#This Row],[Размер отряда минимум]]*2.5</f>
        <v>60</v>
      </c>
      <c r="N432" s="633"/>
      <c r="O432" s="633"/>
      <c r="P432" s="633"/>
      <c r="Q432" s="633"/>
      <c r="R432" s="152" t="s">
        <v>1135</v>
      </c>
      <c r="S432" s="824" t="s">
        <v>2072</v>
      </c>
      <c r="T432" s="152" t="s">
        <v>975</v>
      </c>
      <c r="U432" s="908" t="s">
        <v>2623</v>
      </c>
      <c r="V432" s="910" t="s">
        <v>2592</v>
      </c>
      <c r="W432" s="152" t="s">
        <v>1001</v>
      </c>
      <c r="X432" s="152" t="s">
        <v>1442</v>
      </c>
      <c r="Y432" s="911" t="s">
        <v>2307</v>
      </c>
      <c r="Z432" s="152"/>
      <c r="AA432" s="152"/>
      <c r="AB432" s="152"/>
      <c r="AC432" s="152"/>
      <c r="AD432" s="193" t="s">
        <v>1002</v>
      </c>
      <c r="AE432" s="908" t="s">
        <v>2025</v>
      </c>
      <c r="AF432" s="152" t="s">
        <v>985</v>
      </c>
      <c r="AG432" s="152"/>
      <c r="AH432" s="152" t="s">
        <v>985</v>
      </c>
      <c r="AI432" s="152"/>
      <c r="AJ432" s="152" t="s">
        <v>1004</v>
      </c>
      <c r="AK432" s="911" t="s">
        <v>1952</v>
      </c>
      <c r="AL432" s="210" t="s">
        <v>985</v>
      </c>
      <c r="AM432" s="152" t="s">
        <v>1136</v>
      </c>
      <c r="AN432" s="152" t="s">
        <v>1136</v>
      </c>
      <c r="AO432" s="824" t="s">
        <v>2072</v>
      </c>
      <c r="AP432" s="911" t="s">
        <v>2593</v>
      </c>
      <c r="AQ432" s="911" t="s">
        <v>2676</v>
      </c>
      <c r="AS432" s="151">
        <v>1500</v>
      </c>
      <c r="AT432" s="154">
        <v>1565</v>
      </c>
      <c r="AU432" s="405">
        <v>7</v>
      </c>
      <c r="AV432" s="405"/>
      <c r="AW432" s="405">
        <f>VLOOKUP(Таблица7[[#This Row],[Основное оружие]], Оружие[#All], 2, 0)</f>
        <v>6</v>
      </c>
      <c r="AX432" s="405" t="str">
        <f>IF(ISBLANK(Таблица7[[#This Row],[Дополнительное оружие]]),"", VLOOKUP(Таблица7[[#This Row],[Дополнительное оружие]], Оружие[#All], 2, 0))</f>
        <v/>
      </c>
      <c r="AY43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3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432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32" s="405">
        <f>VLOOKUP(Таблица7[[#This Row],[Основное оружие]], Оружие[#All], 3, 0)</f>
        <v>6</v>
      </c>
      <c r="BC432" s="405" t="str">
        <f>IF(ISBLANK(Таблица7[[#This Row],[Дополнительное оружие]]),"", VLOOKUP(Таблица7[[#This Row],[Дополнительное оружие]], Оружие[#All], 3, 0))</f>
        <v/>
      </c>
      <c r="BD43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3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3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3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7</v>
      </c>
      <c r="BI43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2" s="405">
        <f>Таблица7[[#This Row],[Броня]]+Таблица7[[#This Row],[Щит]]+Таблица7[[#This Row],[навык защиты]]</f>
        <v>27</v>
      </c>
      <c r="BK432" s="1006"/>
      <c r="BL432" s="1008" t="s">
        <v>1585</v>
      </c>
      <c r="BM432" s="400"/>
      <c r="BN432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32" s="400">
        <v>2</v>
      </c>
      <c r="BP432" s="400">
        <v>0</v>
      </c>
      <c r="BQ432" s="400">
        <v>-1</v>
      </c>
      <c r="BR432" s="400">
        <v>0</v>
      </c>
      <c r="BS432" s="400">
        <v>1</v>
      </c>
      <c r="BT432" s="400">
        <v>9</v>
      </c>
      <c r="BU432" s="1002" t="s">
        <v>1840</v>
      </c>
      <c r="BV432" s="1002" t="s">
        <v>1844</v>
      </c>
      <c r="BW432" s="400"/>
      <c r="BX432" s="400"/>
      <c r="BY432" s="400"/>
      <c r="BZ432" s="155"/>
    </row>
    <row r="433" spans="1:78" s="151" customFormat="1" ht="40.5" customHeight="1" x14ac:dyDescent="0.25">
      <c r="A433" s="333">
        <v>432</v>
      </c>
      <c r="B433" s="150" t="s">
        <v>2669</v>
      </c>
      <c r="C433" s="150" t="s">
        <v>2670</v>
      </c>
      <c r="D433" s="150" t="s">
        <v>1555</v>
      </c>
      <c r="E433" s="150" t="s">
        <v>1570</v>
      </c>
      <c r="F433" s="150"/>
      <c r="G433" s="150"/>
      <c r="H433" s="150"/>
      <c r="I433" s="663">
        <v>0.75</v>
      </c>
      <c r="J433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433" s="631">
        <f>Таблица7[[#This Row],[Размер отряда минимум]]*1.25</f>
        <v>37.5</v>
      </c>
      <c r="L433" s="631">
        <f>Таблица7[[#This Row],[Размер отряда норма]]*1.5</f>
        <v>56.25</v>
      </c>
      <c r="M433" s="633">
        <f>Таблица7[[#This Row],[Размер отряда минимум]]*2.5</f>
        <v>75</v>
      </c>
      <c r="N433" s="633"/>
      <c r="O433" s="633"/>
      <c r="P433" s="633"/>
      <c r="Q433" s="633"/>
      <c r="R433" s="152" t="s">
        <v>1135</v>
      </c>
      <c r="S433" s="824" t="s">
        <v>2072</v>
      </c>
      <c r="T433" s="152" t="s">
        <v>976</v>
      </c>
      <c r="U433" s="908" t="s">
        <v>2622</v>
      </c>
      <c r="V433" s="910" t="s">
        <v>2671</v>
      </c>
      <c r="W433" s="152" t="s">
        <v>1001</v>
      </c>
      <c r="X433" s="152" t="s">
        <v>1468</v>
      </c>
      <c r="Y433" s="911" t="s">
        <v>1947</v>
      </c>
      <c r="Z433" s="350" t="s">
        <v>1440</v>
      </c>
      <c r="AA433" s="911" t="s">
        <v>2020</v>
      </c>
      <c r="AB433" s="152"/>
      <c r="AC433" s="152"/>
      <c r="AD433" s="193" t="s">
        <v>991</v>
      </c>
      <c r="AE433" s="908" t="s">
        <v>1951</v>
      </c>
      <c r="AF433" s="152" t="s">
        <v>1211</v>
      </c>
      <c r="AG433" s="152" t="s">
        <v>1963</v>
      </c>
      <c r="AH433" s="152" t="s">
        <v>985</v>
      </c>
      <c r="AI433" s="152"/>
      <c r="AJ433" s="193" t="s">
        <v>985</v>
      </c>
      <c r="AK433" s="193"/>
      <c r="AL433" s="210" t="s">
        <v>985</v>
      </c>
      <c r="AM433" s="152" t="s">
        <v>1136</v>
      </c>
      <c r="AN433" s="152" t="s">
        <v>1136</v>
      </c>
      <c r="AO433" s="824" t="s">
        <v>2072</v>
      </c>
      <c r="AP433" s="911" t="s">
        <v>2672</v>
      </c>
      <c r="AQ433" s="911" t="s">
        <v>2673</v>
      </c>
      <c r="AS433" s="151">
        <v>1550</v>
      </c>
      <c r="AT433" s="154"/>
      <c r="AU433" s="405">
        <v>5</v>
      </c>
      <c r="AV433" s="405" t="s">
        <v>1827</v>
      </c>
      <c r="AW433" s="405">
        <f>VLOOKUP(Таблица7[[#This Row],[Основное оружие]], Оружие[#All], 2, 0)</f>
        <v>0</v>
      </c>
      <c r="AX433" s="405">
        <f>IF(ISBLANK(Таблица7[[#This Row],[Дополнительное оружие]]),"", VLOOKUP(Таблица7[[#This Row],[Дополнительное оружие]], Оружие[#All], 2, 0))</f>
        <v>4</v>
      </c>
      <c r="AY43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3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3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33" s="405">
        <f>VLOOKUP(Таблица7[[#This Row],[Основное оружие]], Оружие[#All], 3, 0)</f>
        <v>1</v>
      </c>
      <c r="BC433" s="405">
        <f>IF(ISBLANK(Таблица7[[#This Row],[Дополнительное оружие]]),"", VLOOKUP(Таблица7[[#This Row],[Дополнительное оружие]], Оружие[#All], 3, 0))</f>
        <v>3</v>
      </c>
      <c r="BD43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0)+1</f>
        <v>1</v>
      </c>
      <c r="BE43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13</v>
      </c>
      <c r="BF43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3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3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3" s="405">
        <f>Таблица7[[#This Row],[Броня]]+Таблица7[[#This Row],[Щит]]+Таблица7[[#This Row],[навык защиты]]</f>
        <v>5</v>
      </c>
      <c r="BK433" s="1008" t="s">
        <v>1583</v>
      </c>
      <c r="BL433" s="1008"/>
      <c r="BM433" s="400"/>
      <c r="BN433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33" s="400">
        <v>2</v>
      </c>
      <c r="BP433" s="399">
        <v>-2</v>
      </c>
      <c r="BQ433" s="399">
        <v>0</v>
      </c>
      <c r="BR433" s="399">
        <v>-4</v>
      </c>
      <c r="BS433" s="399">
        <v>-2</v>
      </c>
      <c r="BT433" s="400">
        <v>7</v>
      </c>
      <c r="BU433" s="1002" t="s">
        <v>1576</v>
      </c>
      <c r="BV433" s="1002" t="s">
        <v>1843</v>
      </c>
      <c r="BW433" s="400"/>
      <c r="BX433" s="400"/>
      <c r="BY433" s="400"/>
      <c r="BZ433" s="155"/>
    </row>
    <row r="434" spans="1:78" s="151" customFormat="1" ht="40.5" customHeight="1" x14ac:dyDescent="0.25">
      <c r="A434" s="333">
        <v>433</v>
      </c>
      <c r="B434" s="150" t="s">
        <v>1819</v>
      </c>
      <c r="C434" s="150" t="s">
        <v>2678</v>
      </c>
      <c r="D434" s="150" t="s">
        <v>1555</v>
      </c>
      <c r="E434" s="150" t="s">
        <v>1570</v>
      </c>
      <c r="F434" s="150"/>
      <c r="G434" s="150"/>
      <c r="H434" s="150"/>
      <c r="I434" s="663">
        <v>0.75</v>
      </c>
      <c r="J434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434" s="631">
        <f>Таблица7[[#This Row],[Размер отряда минимум]]*1.25</f>
        <v>37.5</v>
      </c>
      <c r="L434" s="631">
        <f>Таблица7[[#This Row],[Размер отряда норма]]*1.5</f>
        <v>56.25</v>
      </c>
      <c r="M434" s="633">
        <f>Таблица7[[#This Row],[Размер отряда минимум]]*2.5</f>
        <v>75</v>
      </c>
      <c r="N434" s="633"/>
      <c r="O434" s="633"/>
      <c r="P434" s="633"/>
      <c r="Q434" s="633"/>
      <c r="R434" s="152" t="s">
        <v>1135</v>
      </c>
      <c r="S434" s="824" t="s">
        <v>2072</v>
      </c>
      <c r="T434" s="152" t="s">
        <v>976</v>
      </c>
      <c r="U434" s="908" t="s">
        <v>2624</v>
      </c>
      <c r="V434" s="910" t="s">
        <v>2679</v>
      </c>
      <c r="W434" s="152" t="s">
        <v>984</v>
      </c>
      <c r="X434" s="152" t="s">
        <v>1469</v>
      </c>
      <c r="Y434" s="152" t="s">
        <v>2056</v>
      </c>
      <c r="Z434" s="152" t="s">
        <v>1440</v>
      </c>
      <c r="AA434" s="911" t="s">
        <v>2020</v>
      </c>
      <c r="AB434" s="152"/>
      <c r="AC434" s="152"/>
      <c r="AD434" s="193" t="s">
        <v>985</v>
      </c>
      <c r="AE434" s="193"/>
      <c r="AF434" s="152" t="s">
        <v>991</v>
      </c>
      <c r="AG434" s="911" t="s">
        <v>1951</v>
      </c>
      <c r="AH434" s="152" t="s">
        <v>985</v>
      </c>
      <c r="AI434" s="152"/>
      <c r="AJ434" s="193" t="s">
        <v>985</v>
      </c>
      <c r="AK434" s="193"/>
      <c r="AL434" s="210" t="s">
        <v>985</v>
      </c>
      <c r="AM434" s="152" t="s">
        <v>1136</v>
      </c>
      <c r="AN434" s="152" t="s">
        <v>1136</v>
      </c>
      <c r="AO434" s="824" t="s">
        <v>2072</v>
      </c>
      <c r="AP434" s="152" t="s">
        <v>1146</v>
      </c>
      <c r="AQ434" s="911" t="s">
        <v>2673</v>
      </c>
      <c r="AS434" s="151">
        <v>1550</v>
      </c>
      <c r="AT434" s="154"/>
      <c r="AU434" s="405">
        <v>4</v>
      </c>
      <c r="AV434" s="405" t="s">
        <v>1827</v>
      </c>
      <c r="AW434" s="405">
        <f>VLOOKUP(Таблица7[[#This Row],[Основное оружие]], Оружие[#All], 2, 0)</f>
        <v>0</v>
      </c>
      <c r="AX434" s="405">
        <f>IF(ISBLANK(Таблица7[[#This Row],[Дополнительное оружие]]),"", VLOOKUP(Таблица7[[#This Row],[Дополнительное оружие]], Оружие[#All], 2, 0))</f>
        <v>4</v>
      </c>
      <c r="AY43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3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3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34" s="405">
        <f>VLOOKUP(Таблица7[[#This Row],[Основное оружие]], Оружие[#All], 3, 0)</f>
        <v>1</v>
      </c>
      <c r="BC434" s="405">
        <f>IF(ISBLANK(Таблица7[[#This Row],[Дополнительное оружие]]),"", VLOOKUP(Таблица7[[#This Row],[Дополнительное оружие]], Оружие[#All], 3, 0))</f>
        <v>3</v>
      </c>
      <c r="BD43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3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43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3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3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4" s="405">
        <f>Таблица7[[#This Row],[Броня]]+Таблица7[[#This Row],[Щит]]+Таблица7[[#This Row],[навык защиты]]</f>
        <v>4</v>
      </c>
      <c r="BK434" s="1008" t="s">
        <v>1589</v>
      </c>
      <c r="BL434" s="1008"/>
      <c r="BM434" s="400"/>
      <c r="BN434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34" s="400">
        <v>2</v>
      </c>
      <c r="BP434" s="399">
        <v>-2</v>
      </c>
      <c r="BQ434" s="399">
        <v>0</v>
      </c>
      <c r="BR434" s="399">
        <v>-4</v>
      </c>
      <c r="BS434" s="399">
        <v>-2</v>
      </c>
      <c r="BT434" s="400">
        <v>7</v>
      </c>
      <c r="BU434" s="1002" t="s">
        <v>1576</v>
      </c>
      <c r="BV434" s="1002" t="s">
        <v>1843</v>
      </c>
      <c r="BW434" s="400"/>
      <c r="BX434" s="400"/>
      <c r="BY434" s="400"/>
      <c r="BZ434" s="155"/>
    </row>
    <row r="435" spans="1:78" s="151" customFormat="1" ht="40.5" customHeight="1" x14ac:dyDescent="0.25">
      <c r="A435" s="333">
        <v>434</v>
      </c>
      <c r="B435" s="150" t="s">
        <v>1531</v>
      </c>
      <c r="C435" s="150" t="s">
        <v>2674</v>
      </c>
      <c r="D435" s="150" t="s">
        <v>1555</v>
      </c>
      <c r="E435" s="150" t="s">
        <v>1547</v>
      </c>
      <c r="F435" s="150"/>
      <c r="G435" s="150"/>
      <c r="H435" s="150"/>
      <c r="I435" s="663">
        <v>0.8</v>
      </c>
      <c r="J435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19.200000000000003</v>
      </c>
      <c r="K435" s="631">
        <f>Таблица7[[#This Row],[Размер отряда минимум]]*1.25</f>
        <v>24.000000000000004</v>
      </c>
      <c r="L435" s="631">
        <f>Таблица7[[#This Row],[Размер отряда норма]]*1.5</f>
        <v>36.000000000000007</v>
      </c>
      <c r="M435" s="633">
        <f>Таблица7[[#This Row],[Размер отряда минимум]]*2.5</f>
        <v>48.000000000000007</v>
      </c>
      <c r="N435" s="633"/>
      <c r="O435" s="633"/>
      <c r="P435" s="633"/>
      <c r="Q435" s="633"/>
      <c r="R435" s="152" t="s">
        <v>1135</v>
      </c>
      <c r="S435" s="824" t="s">
        <v>2072</v>
      </c>
      <c r="T435" s="152" t="s">
        <v>976</v>
      </c>
      <c r="U435" s="908" t="s">
        <v>2625</v>
      </c>
      <c r="V435" s="910" t="s">
        <v>2675</v>
      </c>
      <c r="W435" s="193" t="s">
        <v>1001</v>
      </c>
      <c r="X435" s="783" t="s">
        <v>1950</v>
      </c>
      <c r="Y435" s="911" t="s">
        <v>1949</v>
      </c>
      <c r="Z435" s="310" t="s">
        <v>1438</v>
      </c>
      <c r="AA435" s="911" t="s">
        <v>2037</v>
      </c>
      <c r="AB435" s="310"/>
      <c r="AC435" s="310"/>
      <c r="AD435" s="193" t="s">
        <v>1481</v>
      </c>
      <c r="AE435" s="193" t="s">
        <v>1978</v>
      </c>
      <c r="AF435" s="152" t="s">
        <v>985</v>
      </c>
      <c r="AG435" s="152"/>
      <c r="AH435" s="152" t="s">
        <v>985</v>
      </c>
      <c r="AI435" s="152"/>
      <c r="AJ435" s="193" t="s">
        <v>985</v>
      </c>
      <c r="AK435" s="193"/>
      <c r="AL435" s="210" t="s">
        <v>985</v>
      </c>
      <c r="AM435" s="152" t="s">
        <v>1136</v>
      </c>
      <c r="AN435" s="152" t="s">
        <v>1136</v>
      </c>
      <c r="AO435" s="824" t="s">
        <v>2072</v>
      </c>
      <c r="AP435" s="152" t="s">
        <v>1147</v>
      </c>
      <c r="AQ435" s="911" t="s">
        <v>2684</v>
      </c>
      <c r="AS435" s="151">
        <v>1546</v>
      </c>
      <c r="AT435" s="154"/>
      <c r="AU435" s="405">
        <v>8</v>
      </c>
      <c r="AV435" s="405" t="s">
        <v>1828</v>
      </c>
      <c r="AW435" s="405">
        <f>VLOOKUP(Таблица7[[#This Row],[Основное оружие]], Оружие[#All], 2, 0)</f>
        <v>0</v>
      </c>
      <c r="AX435" s="405">
        <f>IF(ISBLANK(Таблица7[[#This Row],[Дополнительное оружие]]),"", VLOOKUP(Таблица7[[#This Row],[Дополнительное оружие]], Оружие[#All], 2, 0))</f>
        <v>3</v>
      </c>
      <c r="AY43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3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3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35" s="405">
        <f>VLOOKUP(Таблица7[[#This Row],[Основное оружие]], Оружие[#All], 3, 0)</f>
        <v>1</v>
      </c>
      <c r="BC435" s="405">
        <f>IF(ISBLANK(Таблица7[[#This Row],[Дополнительное оружие]]),"", VLOOKUP(Таблица7[[#This Row],[Дополнительное оружие]], Оружие[#All], 3, 0))</f>
        <v>3</v>
      </c>
      <c r="BD43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43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3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3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3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5" s="405">
        <f>Таблица7[[#This Row],[Броня]]+Таблица7[[#This Row],[Щит]]+Таблица7[[#This Row],[навык защиты]]</f>
        <v>22</v>
      </c>
      <c r="BK435" s="1006"/>
      <c r="BL435" s="1006"/>
      <c r="BM435" s="400"/>
      <c r="BN435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35" s="400">
        <v>2</v>
      </c>
      <c r="BP435" s="399">
        <v>-2</v>
      </c>
      <c r="BQ435" s="399">
        <v>0</v>
      </c>
      <c r="BR435" s="399">
        <v>-4</v>
      </c>
      <c r="BS435" s="399">
        <v>-2</v>
      </c>
      <c r="BT435" s="400">
        <v>11</v>
      </c>
      <c r="BU435" s="1002" t="s">
        <v>1576</v>
      </c>
      <c r="BV435" s="1002" t="s">
        <v>1844</v>
      </c>
      <c r="BW435" s="400"/>
      <c r="BX435" s="400"/>
      <c r="BY435" s="400"/>
      <c r="BZ435" s="155"/>
    </row>
    <row r="436" spans="1:78" s="151" customFormat="1" ht="40.5" customHeight="1" x14ac:dyDescent="0.25">
      <c r="A436" s="333">
        <v>435</v>
      </c>
      <c r="B436" s="150" t="s">
        <v>1820</v>
      </c>
      <c r="C436" s="150" t="s">
        <v>2680</v>
      </c>
      <c r="D436" s="152" t="s">
        <v>1556</v>
      </c>
      <c r="E436" s="150" t="s">
        <v>1570</v>
      </c>
      <c r="F436" s="150"/>
      <c r="G436" s="150"/>
      <c r="H436" s="150"/>
      <c r="I436" s="663">
        <v>0.6</v>
      </c>
      <c r="J436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54</v>
      </c>
      <c r="K436" s="631">
        <f>Таблица7[[#This Row],[Размер отряда минимум]]*1.25</f>
        <v>67.5</v>
      </c>
      <c r="L436" s="631">
        <f>Таблица7[[#This Row],[Размер отряда норма]]*1.5</f>
        <v>101.25</v>
      </c>
      <c r="M436" s="633">
        <f>Таблица7[[#This Row],[Размер отряда минимум]]*2.5</f>
        <v>135</v>
      </c>
      <c r="N436" s="633"/>
      <c r="O436" s="633"/>
      <c r="P436" s="633"/>
      <c r="Q436" s="633"/>
      <c r="R436" s="152" t="s">
        <v>1135</v>
      </c>
      <c r="S436" s="824" t="s">
        <v>2072</v>
      </c>
      <c r="T436" s="152" t="s">
        <v>975</v>
      </c>
      <c r="U436" s="908" t="s">
        <v>2626</v>
      </c>
      <c r="V436" s="910" t="s">
        <v>2681</v>
      </c>
      <c r="W436" s="152" t="s">
        <v>1001</v>
      </c>
      <c r="X436" s="152" t="s">
        <v>1469</v>
      </c>
      <c r="Y436" s="152" t="s">
        <v>2056</v>
      </c>
      <c r="Z436" s="152" t="s">
        <v>1036</v>
      </c>
      <c r="AA436" s="911" t="s">
        <v>1929</v>
      </c>
      <c r="AB436" s="152"/>
      <c r="AC436" s="152"/>
      <c r="AD436" s="193" t="s">
        <v>985</v>
      </c>
      <c r="AE436" s="193"/>
      <c r="AF436" s="152" t="s">
        <v>991</v>
      </c>
      <c r="AG436" s="911" t="s">
        <v>1951</v>
      </c>
      <c r="AH436" s="152" t="s">
        <v>985</v>
      </c>
      <c r="AI436" s="152"/>
      <c r="AJ436" s="193" t="s">
        <v>985</v>
      </c>
      <c r="AK436" s="193"/>
      <c r="AL436" s="210" t="s">
        <v>985</v>
      </c>
      <c r="AM436" s="152" t="s">
        <v>1136</v>
      </c>
      <c r="AN436" s="152" t="s">
        <v>1136</v>
      </c>
      <c r="AO436" s="824" t="s">
        <v>2072</v>
      </c>
      <c r="AP436" s="911" t="s">
        <v>2586</v>
      </c>
      <c r="AQ436" s="911" t="s">
        <v>2677</v>
      </c>
      <c r="AS436" s="151">
        <v>1500</v>
      </c>
      <c r="AT436" s="154">
        <v>1550</v>
      </c>
      <c r="AU436" s="405">
        <v>4</v>
      </c>
      <c r="AV436" s="405" t="s">
        <v>1827</v>
      </c>
      <c r="AW436" s="405">
        <f>VLOOKUP(Таблица7[[#This Row],[Основное оружие]], Оружие[#All], 2, 0)</f>
        <v>0</v>
      </c>
      <c r="AX436" s="405">
        <f>IF(ISBLANK(Таблица7[[#This Row],[Дополнительное оружие]]),"", VLOOKUP(Таблица7[[#This Row],[Дополнительное оружие]], Оружие[#All], 2, 0))</f>
        <v>5</v>
      </c>
      <c r="AY43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3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3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36" s="405">
        <f>VLOOKUP(Таблица7[[#This Row],[Основное оружие]], Оружие[#All], 3, 0)</f>
        <v>1</v>
      </c>
      <c r="BC436" s="405">
        <f>IF(ISBLANK(Таблица7[[#This Row],[Дополнительное оружие]]),"", VLOOKUP(Таблица7[[#This Row],[Дополнительное оружие]], Оружие[#All], 3, 0))</f>
        <v>3</v>
      </c>
      <c r="BD43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3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3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3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3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6" s="405">
        <f>Таблица7[[#This Row],[Броня]]+Таблица7[[#This Row],[Щит]]+Таблица7[[#This Row],[навык защиты]]</f>
        <v>6</v>
      </c>
      <c r="BK436" s="1006"/>
      <c r="BL436" s="1006"/>
      <c r="BM436" s="400"/>
      <c r="BN436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36" s="400">
        <v>2</v>
      </c>
      <c r="BP436" s="400">
        <v>1</v>
      </c>
      <c r="BQ436" s="400">
        <v>-1</v>
      </c>
      <c r="BR436" s="400">
        <v>2</v>
      </c>
      <c r="BS436" s="400">
        <v>1</v>
      </c>
      <c r="BT436" s="400">
        <v>6</v>
      </c>
      <c r="BU436" s="1002" t="s">
        <v>1576</v>
      </c>
      <c r="BV436" s="1002" t="s">
        <v>1843</v>
      </c>
      <c r="BW436" s="400"/>
      <c r="BX436" s="400"/>
      <c r="BY436" s="400"/>
      <c r="BZ436" s="155"/>
    </row>
    <row r="437" spans="1:78" s="151" customFormat="1" ht="40.5" customHeight="1" x14ac:dyDescent="0.25">
      <c r="A437" s="333">
        <v>436</v>
      </c>
      <c r="B437" s="150" t="s">
        <v>1820</v>
      </c>
      <c r="C437" s="150" t="s">
        <v>2680</v>
      </c>
      <c r="D437" s="152" t="s">
        <v>1556</v>
      </c>
      <c r="E437" s="150" t="s">
        <v>1570</v>
      </c>
      <c r="F437" s="150"/>
      <c r="G437" s="150"/>
      <c r="H437" s="150"/>
      <c r="I437" s="663">
        <v>0.6</v>
      </c>
      <c r="J437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60</v>
      </c>
      <c r="K437" s="631">
        <f>Таблица7[[#This Row],[Размер отряда минимум]]*1.25</f>
        <v>75</v>
      </c>
      <c r="L437" s="631">
        <f>Таблица7[[#This Row],[Размер отряда норма]]*1.5</f>
        <v>112.5</v>
      </c>
      <c r="M437" s="633">
        <f>Таблица7[[#This Row],[Размер отряда минимум]]*2.5</f>
        <v>150</v>
      </c>
      <c r="N437" s="633"/>
      <c r="O437" s="633"/>
      <c r="P437" s="633"/>
      <c r="Q437" s="633"/>
      <c r="R437" s="152" t="s">
        <v>1135</v>
      </c>
      <c r="S437" s="824" t="s">
        <v>2072</v>
      </c>
      <c r="T437" s="152" t="s">
        <v>976</v>
      </c>
      <c r="U437" s="908" t="s">
        <v>2626</v>
      </c>
      <c r="V437" s="910" t="s">
        <v>2681</v>
      </c>
      <c r="W437" s="152" t="s">
        <v>1001</v>
      </c>
      <c r="X437" s="152" t="s">
        <v>1469</v>
      </c>
      <c r="Y437" s="152" t="s">
        <v>2056</v>
      </c>
      <c r="Z437" s="152" t="s">
        <v>1440</v>
      </c>
      <c r="AA437" s="911" t="s">
        <v>2020</v>
      </c>
      <c r="AB437" s="152"/>
      <c r="AC437" s="152"/>
      <c r="AD437" s="193" t="s">
        <v>985</v>
      </c>
      <c r="AE437" s="193"/>
      <c r="AF437" s="152" t="s">
        <v>991</v>
      </c>
      <c r="AG437" s="911" t="s">
        <v>1951</v>
      </c>
      <c r="AH437" s="152" t="s">
        <v>985</v>
      </c>
      <c r="AI437" s="152"/>
      <c r="AJ437" s="193" t="s">
        <v>985</v>
      </c>
      <c r="AK437" s="193"/>
      <c r="AL437" s="210" t="s">
        <v>985</v>
      </c>
      <c r="AM437" s="152" t="s">
        <v>1136</v>
      </c>
      <c r="AN437" s="152" t="s">
        <v>1136</v>
      </c>
      <c r="AO437" s="824" t="s">
        <v>2072</v>
      </c>
      <c r="AP437" s="911" t="s">
        <v>2586</v>
      </c>
      <c r="AQ437" s="911" t="s">
        <v>2677</v>
      </c>
      <c r="AS437" s="151">
        <v>1550</v>
      </c>
      <c r="AT437" s="154"/>
      <c r="AU437" s="405">
        <v>2</v>
      </c>
      <c r="AV437" s="405" t="s">
        <v>1828</v>
      </c>
      <c r="AW437" s="405">
        <f>VLOOKUP(Таблица7[[#This Row],[Основное оружие]], Оружие[#All], 2, 0)</f>
        <v>0</v>
      </c>
      <c r="AX437" s="405">
        <f>IF(ISBLANK(Таблица7[[#This Row],[Дополнительное оружие]]),"", VLOOKUP(Таблица7[[#This Row],[Дополнительное оружие]], Оружие[#All], 2, 0))</f>
        <v>4</v>
      </c>
      <c r="AY43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3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3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437" s="405">
        <f>VLOOKUP(Таблица7[[#This Row],[Основное оружие]], Оружие[#All], 3, 0)</f>
        <v>1</v>
      </c>
      <c r="BC437" s="405">
        <f>IF(ISBLANK(Таблица7[[#This Row],[Дополнительное оружие]]),"", VLOOKUP(Таблица7[[#This Row],[Дополнительное оружие]], Оружие[#All], 3, 0))</f>
        <v>3</v>
      </c>
      <c r="BD43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37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3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3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3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7" s="405">
        <f>Таблица7[[#This Row],[Броня]]+Таблица7[[#This Row],[Щит]]+Таблица7[[#This Row],[навык защиты]]</f>
        <v>4</v>
      </c>
      <c r="BK437" s="1006"/>
      <c r="BL437" s="1006"/>
      <c r="BM437" s="400"/>
      <c r="BN437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37" s="400">
        <v>2</v>
      </c>
      <c r="BP437" s="400">
        <v>1</v>
      </c>
      <c r="BQ437" s="400">
        <v>-1</v>
      </c>
      <c r="BR437" s="400">
        <v>2</v>
      </c>
      <c r="BS437" s="400">
        <v>1</v>
      </c>
      <c r="BT437" s="400">
        <v>6</v>
      </c>
      <c r="BU437" s="1002" t="s">
        <v>1576</v>
      </c>
      <c r="BV437" s="1002" t="s">
        <v>1843</v>
      </c>
      <c r="BW437" s="400"/>
      <c r="BX437" s="400"/>
      <c r="BY437" s="400"/>
      <c r="BZ437" s="155"/>
    </row>
    <row r="438" spans="1:78" s="151" customFormat="1" ht="40.5" customHeight="1" x14ac:dyDescent="0.25">
      <c r="A438" s="333">
        <v>437</v>
      </c>
      <c r="B438" s="150" t="s">
        <v>1821</v>
      </c>
      <c r="C438" s="150" t="s">
        <v>2682</v>
      </c>
      <c r="D438" s="150" t="s">
        <v>1555</v>
      </c>
      <c r="E438" s="152" t="s">
        <v>1547</v>
      </c>
      <c r="F438" s="152"/>
      <c r="G438" s="152"/>
      <c r="H438" s="152"/>
      <c r="I438" s="663">
        <v>0.75</v>
      </c>
      <c r="J438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438" s="631">
        <f>Таблица7[[#This Row],[Размер отряда минимум]]*1.25</f>
        <v>18.75</v>
      </c>
      <c r="L438" s="631">
        <f>Таблица7[[#This Row],[Размер отряда норма]]*1.5</f>
        <v>28.125</v>
      </c>
      <c r="M438" s="633">
        <f>Таблица7[[#This Row],[Размер отряда минимум]]*2.5</f>
        <v>37.5</v>
      </c>
      <c r="N438" s="633"/>
      <c r="O438" s="633"/>
      <c r="P438" s="633"/>
      <c r="Q438" s="633"/>
      <c r="R438" s="152" t="s">
        <v>1135</v>
      </c>
      <c r="S438" s="824" t="s">
        <v>2072</v>
      </c>
      <c r="T438" s="152" t="s">
        <v>975</v>
      </c>
      <c r="U438" s="908" t="s">
        <v>2627</v>
      </c>
      <c r="V438" s="910" t="s">
        <v>2690</v>
      </c>
      <c r="W438" s="152" t="s">
        <v>1001</v>
      </c>
      <c r="X438" s="487" t="s">
        <v>1528</v>
      </c>
      <c r="Y438" s="487" t="s">
        <v>2024</v>
      </c>
      <c r="Z438" s="487" t="s">
        <v>1036</v>
      </c>
      <c r="AA438" s="487" t="s">
        <v>1929</v>
      </c>
      <c r="AB438" s="152"/>
      <c r="AC438" s="152"/>
      <c r="AD438" s="193" t="s">
        <v>1002</v>
      </c>
      <c r="AE438" s="908" t="s">
        <v>2025</v>
      </c>
      <c r="AF438" s="152" t="s">
        <v>985</v>
      </c>
      <c r="AG438" s="152"/>
      <c r="AH438" s="152" t="s">
        <v>985</v>
      </c>
      <c r="AI438" s="152"/>
      <c r="AJ438" s="152" t="s">
        <v>1004</v>
      </c>
      <c r="AK438" s="911" t="s">
        <v>1952</v>
      </c>
      <c r="AL438" s="210" t="s">
        <v>1163</v>
      </c>
      <c r="AM438" s="152" t="s">
        <v>1136</v>
      </c>
      <c r="AN438" s="152" t="s">
        <v>1136</v>
      </c>
      <c r="AO438" s="824" t="s">
        <v>2072</v>
      </c>
      <c r="AP438" s="911" t="s">
        <v>2593</v>
      </c>
      <c r="AQ438" s="911" t="s">
        <v>2676</v>
      </c>
      <c r="AS438" s="151">
        <v>1500</v>
      </c>
      <c r="AT438" s="154">
        <v>1565</v>
      </c>
      <c r="AU438" s="405">
        <v>6</v>
      </c>
      <c r="AV438" s="405"/>
      <c r="AW438" s="405">
        <f>VLOOKUP(Таблица7[[#This Row],[Основное оружие]], Оружие[#All], 2, 0)</f>
        <v>2</v>
      </c>
      <c r="AX438" s="405">
        <f>IF(ISBLANK(Таблица7[[#This Row],[Дополнительное оружие]]),"", VLOOKUP(Таблица7[[#This Row],[Дополнительное оружие]], Оружие[#All], 2, 0))</f>
        <v>5</v>
      </c>
      <c r="AY43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3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43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38" s="405">
        <f>VLOOKUP(Таблица7[[#This Row],[Основное оружие]], Оружие[#All], 3, 0)</f>
        <v>6</v>
      </c>
      <c r="BC438" s="405">
        <f>IF(ISBLANK(Таблица7[[#This Row],[Дополнительное оружие]]),"", VLOOKUP(Таблица7[[#This Row],[Дополнительное оружие]], Оружие[#All], 3, 0))</f>
        <v>3</v>
      </c>
      <c r="BD43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3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3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3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3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8" s="405">
        <f>Таблица7[[#This Row],[Броня]]+Таблица7[[#This Row],[Щит]]+Таблица7[[#This Row],[навык защиты]]</f>
        <v>23</v>
      </c>
      <c r="BK438" s="1006"/>
      <c r="BL438" s="1006"/>
      <c r="BM438" s="400"/>
      <c r="BN438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38" s="400">
        <v>2</v>
      </c>
      <c r="BP438" s="399">
        <v>-2</v>
      </c>
      <c r="BQ438" s="399">
        <v>0</v>
      </c>
      <c r="BR438" s="399">
        <v>-4</v>
      </c>
      <c r="BS438" s="399">
        <v>-2</v>
      </c>
      <c r="BT438" s="400">
        <v>9</v>
      </c>
      <c r="BU438" s="1002" t="s">
        <v>1576</v>
      </c>
      <c r="BV438" s="1002" t="s">
        <v>1843</v>
      </c>
      <c r="BW438" s="400"/>
      <c r="BX438" s="400"/>
      <c r="BY438" s="400"/>
      <c r="BZ438" s="155"/>
    </row>
    <row r="439" spans="1:78" s="151" customFormat="1" ht="40.5" customHeight="1" x14ac:dyDescent="0.25">
      <c r="A439" s="333">
        <v>438</v>
      </c>
      <c r="B439" s="150" t="s">
        <v>1649</v>
      </c>
      <c r="C439" s="150" t="s">
        <v>2683</v>
      </c>
      <c r="D439" s="150" t="s">
        <v>1555</v>
      </c>
      <c r="E439" s="150" t="s">
        <v>1547</v>
      </c>
      <c r="F439" s="150"/>
      <c r="G439" s="150"/>
      <c r="H439" s="150"/>
      <c r="I439" s="663">
        <v>0.75</v>
      </c>
      <c r="J439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439" s="631">
        <f>Таблица7[[#This Row],[Размер отряда минимум]]*1.25</f>
        <v>22.5</v>
      </c>
      <c r="L439" s="631">
        <f>Таблица7[[#This Row],[Размер отряда норма]]*1.5</f>
        <v>33.75</v>
      </c>
      <c r="M439" s="633">
        <f>Таблица7[[#This Row],[Размер отряда минимум]]*2.5</f>
        <v>45</v>
      </c>
      <c r="N439" s="633"/>
      <c r="O439" s="633"/>
      <c r="P439" s="633"/>
      <c r="Q439" s="633"/>
      <c r="R439" s="152" t="s">
        <v>1135</v>
      </c>
      <c r="S439" s="824" t="s">
        <v>2072</v>
      </c>
      <c r="T439" s="152" t="s">
        <v>976</v>
      </c>
      <c r="U439" s="908" t="s">
        <v>2628</v>
      </c>
      <c r="V439" s="910" t="s">
        <v>2691</v>
      </c>
      <c r="W439" s="152" t="s">
        <v>1001</v>
      </c>
      <c r="X439" s="487" t="s">
        <v>1950</v>
      </c>
      <c r="Y439" s="487" t="s">
        <v>1949</v>
      </c>
      <c r="Z439" s="487" t="s">
        <v>1440</v>
      </c>
      <c r="AA439" s="487" t="s">
        <v>2020</v>
      </c>
      <c r="AB439" s="152"/>
      <c r="AC439" s="152"/>
      <c r="AD439" s="193" t="s">
        <v>1481</v>
      </c>
      <c r="AE439" s="193" t="s">
        <v>1978</v>
      </c>
      <c r="AF439" s="152" t="s">
        <v>985</v>
      </c>
      <c r="AG439" s="152"/>
      <c r="AH439" s="152" t="s">
        <v>985</v>
      </c>
      <c r="AI439" s="152"/>
      <c r="AJ439" s="152" t="s">
        <v>1005</v>
      </c>
      <c r="AK439" s="152" t="s">
        <v>2031</v>
      </c>
      <c r="AL439" s="210" t="s">
        <v>985</v>
      </c>
      <c r="AM439" s="152" t="s">
        <v>1136</v>
      </c>
      <c r="AN439" s="152" t="s">
        <v>1136</v>
      </c>
      <c r="AO439" s="824" t="s">
        <v>2072</v>
      </c>
      <c r="AP439" s="911" t="s">
        <v>2593</v>
      </c>
      <c r="AQ439" s="911" t="s">
        <v>2676</v>
      </c>
      <c r="AS439" s="151">
        <v>1565</v>
      </c>
      <c r="AT439" s="154"/>
      <c r="AU439" s="405">
        <v>6</v>
      </c>
      <c r="AV439" s="405" t="s">
        <v>1827</v>
      </c>
      <c r="AW439" s="405">
        <f>VLOOKUP(Таблица7[[#This Row],[Основное оружие]], Оружие[#All], 2, 0)</f>
        <v>0</v>
      </c>
      <c r="AX439" s="405">
        <f>IF(ISBLANK(Таблица7[[#This Row],[Дополнительное оружие]]),"", VLOOKUP(Таблица7[[#This Row],[Дополнительное оружие]], Оружие[#All], 2, 0))</f>
        <v>4</v>
      </c>
      <c r="AY43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3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3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39" s="405">
        <f>VLOOKUP(Таблица7[[#This Row],[Основное оружие]], Оружие[#All], 3, 0)</f>
        <v>1</v>
      </c>
      <c r="BC439" s="405">
        <f>IF(ISBLANK(Таблица7[[#This Row],[Дополнительное оружие]]),"", VLOOKUP(Таблица7[[#This Row],[Дополнительное оружие]], Оружие[#All], 3, 0))</f>
        <v>3</v>
      </c>
      <c r="BD43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43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3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39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43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3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39" s="405">
        <f>Таблица7[[#This Row],[Броня]]+Таблица7[[#This Row],[Щит]]+Таблица7[[#This Row],[навык защиты]]</f>
        <v>20</v>
      </c>
      <c r="BK439" s="1006"/>
      <c r="BL439" s="1006"/>
      <c r="BM439" s="400"/>
      <c r="BN439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39" s="400">
        <v>2</v>
      </c>
      <c r="BP439" s="399">
        <v>-2</v>
      </c>
      <c r="BQ439" s="399">
        <v>0</v>
      </c>
      <c r="BR439" s="399">
        <v>-4</v>
      </c>
      <c r="BS439" s="399">
        <v>-2</v>
      </c>
      <c r="BT439" s="400">
        <v>9</v>
      </c>
      <c r="BU439" s="1002" t="s">
        <v>1576</v>
      </c>
      <c r="BV439" s="1002" t="s">
        <v>1843</v>
      </c>
      <c r="BW439" s="400"/>
      <c r="BX439" s="400"/>
      <c r="BY439" s="400"/>
      <c r="BZ439" s="155"/>
    </row>
    <row r="440" spans="1:78" s="151" customFormat="1" ht="40.5" customHeight="1" x14ac:dyDescent="0.25">
      <c r="A440" s="333">
        <v>439</v>
      </c>
      <c r="B440" s="150" t="s">
        <v>1822</v>
      </c>
      <c r="C440" s="150" t="s">
        <v>2685</v>
      </c>
      <c r="D440" s="152" t="s">
        <v>1556</v>
      </c>
      <c r="E440" s="152" t="s">
        <v>1546</v>
      </c>
      <c r="F440" s="152"/>
      <c r="G440" s="152"/>
      <c r="H440" s="152"/>
      <c r="I440" s="663">
        <v>0.3</v>
      </c>
      <c r="J440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440" s="631">
        <f>Таблица7[[#This Row],[Размер отряда минимум]]*1.25</f>
        <v>33.75</v>
      </c>
      <c r="L440" s="631">
        <f>Таблица7[[#This Row],[Размер отряда норма]]*1.5</f>
        <v>50.625</v>
      </c>
      <c r="M440" s="633">
        <f>Таблица7[[#This Row],[Размер отряда минимум]]*2.5</f>
        <v>67.5</v>
      </c>
      <c r="N440" s="633"/>
      <c r="O440" s="633"/>
      <c r="P440" s="633"/>
      <c r="Q440" s="633"/>
      <c r="R440" s="152" t="s">
        <v>1135</v>
      </c>
      <c r="S440" s="824" t="s">
        <v>2072</v>
      </c>
      <c r="T440" s="152" t="s">
        <v>975</v>
      </c>
      <c r="U440" s="908" t="s">
        <v>2629</v>
      </c>
      <c r="V440" s="910" t="s">
        <v>2686</v>
      </c>
      <c r="W440" s="487" t="s">
        <v>993</v>
      </c>
      <c r="X440" s="487" t="s">
        <v>994</v>
      </c>
      <c r="Y440" s="824" t="s">
        <v>1932</v>
      </c>
      <c r="Z440" s="152"/>
      <c r="AA440" s="152"/>
      <c r="AB440" s="152"/>
      <c r="AC440" s="152"/>
      <c r="AD440" s="193" t="s">
        <v>985</v>
      </c>
      <c r="AE440" s="193"/>
      <c r="AF440" s="152" t="s">
        <v>991</v>
      </c>
      <c r="AG440" s="911" t="s">
        <v>1951</v>
      </c>
      <c r="AH440" s="152" t="s">
        <v>985</v>
      </c>
      <c r="AI440" s="152"/>
      <c r="AJ440" s="193" t="s">
        <v>985</v>
      </c>
      <c r="AK440" s="193"/>
      <c r="AL440" s="210" t="s">
        <v>985</v>
      </c>
      <c r="AM440" s="152" t="s">
        <v>1136</v>
      </c>
      <c r="AN440" s="152" t="s">
        <v>1136</v>
      </c>
      <c r="AO440" s="824" t="s">
        <v>2072</v>
      </c>
      <c r="AP440" s="911" t="s">
        <v>2586</v>
      </c>
      <c r="AQ440" s="911" t="s">
        <v>2677</v>
      </c>
      <c r="AS440" s="151">
        <v>1500</v>
      </c>
      <c r="AT440" s="154">
        <v>1550</v>
      </c>
      <c r="AU440" s="405">
        <v>6</v>
      </c>
      <c r="AV440" s="405"/>
      <c r="AW440" s="405">
        <f>VLOOKUP(Таблица7[[#This Row],[Основное оружие]], Оружие[#All], 2, 0)</f>
        <v>1</v>
      </c>
      <c r="AX440" s="405" t="str">
        <f>IF(ISBLANK(Таблица7[[#This Row],[Дополнительное оружие]]),"", VLOOKUP(Таблица7[[#This Row],[Дополнительное оружие]], Оружие[#All], 2, 0))</f>
        <v/>
      </c>
      <c r="AY44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4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440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40" s="405">
        <f>VLOOKUP(Таблица7[[#This Row],[Основное оружие]], Оружие[#All], 3, 0)</f>
        <v>1</v>
      </c>
      <c r="BC440" s="405" t="str">
        <f>IF(ISBLANK(Таблица7[[#This Row],[Дополнительное оружие]]),"", VLOOKUP(Таблица7[[#This Row],[Дополнительное оружие]], Оружие[#All], 3, 0))</f>
        <v/>
      </c>
      <c r="BD44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4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4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4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4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0" s="405">
        <f>Таблица7[[#This Row],[Броня]]+Таблица7[[#This Row],[Щит]]+Таблица7[[#This Row],[навык защиты]]</f>
        <v>6</v>
      </c>
      <c r="BK440" s="1006"/>
      <c r="BL440" s="1006"/>
      <c r="BM440" s="400"/>
      <c r="BN440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40" s="400">
        <v>2</v>
      </c>
      <c r="BP440" s="400">
        <v>-1</v>
      </c>
      <c r="BQ440" s="400">
        <v>-1</v>
      </c>
      <c r="BR440" s="400">
        <v>-2</v>
      </c>
      <c r="BS440" s="400">
        <v>1</v>
      </c>
      <c r="BT440" s="400">
        <v>9</v>
      </c>
      <c r="BU440" s="1002" t="s">
        <v>1840</v>
      </c>
      <c r="BV440" s="1002" t="s">
        <v>1843</v>
      </c>
      <c r="BW440" s="400"/>
      <c r="BX440" s="400"/>
      <c r="BY440" s="400"/>
      <c r="BZ440" s="155"/>
    </row>
    <row r="441" spans="1:78" s="151" customFormat="1" ht="40.5" customHeight="1" x14ac:dyDescent="0.25">
      <c r="A441" s="333">
        <v>440</v>
      </c>
      <c r="B441" s="150" t="s">
        <v>1822</v>
      </c>
      <c r="C441" s="150" t="s">
        <v>2685</v>
      </c>
      <c r="D441" s="152" t="s">
        <v>1556</v>
      </c>
      <c r="E441" s="152" t="s">
        <v>1546</v>
      </c>
      <c r="F441" s="152"/>
      <c r="G441" s="152"/>
      <c r="H441" s="152"/>
      <c r="I441" s="663">
        <v>0.3</v>
      </c>
      <c r="J441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441" s="631">
        <f>Таблица7[[#This Row],[Размер отряда минимум]]*1.25</f>
        <v>37.5</v>
      </c>
      <c r="L441" s="631">
        <f>Таблица7[[#This Row],[Размер отряда норма]]*1.5</f>
        <v>56.25</v>
      </c>
      <c r="M441" s="633">
        <f>Таблица7[[#This Row],[Размер отряда минимум]]*2.5</f>
        <v>75</v>
      </c>
      <c r="N441" s="633"/>
      <c r="O441" s="633"/>
      <c r="P441" s="633"/>
      <c r="Q441" s="633"/>
      <c r="R441" s="152" t="s">
        <v>1135</v>
      </c>
      <c r="S441" s="824" t="s">
        <v>2072</v>
      </c>
      <c r="T441" s="152" t="s">
        <v>976</v>
      </c>
      <c r="U441" s="908" t="s">
        <v>2629</v>
      </c>
      <c r="V441" s="910" t="s">
        <v>2686</v>
      </c>
      <c r="W441" s="487" t="s">
        <v>993</v>
      </c>
      <c r="X441" s="487" t="s">
        <v>994</v>
      </c>
      <c r="Y441" s="824" t="s">
        <v>1932</v>
      </c>
      <c r="Z441" s="152"/>
      <c r="AA441" s="152"/>
      <c r="AB441" s="152"/>
      <c r="AC441" s="152"/>
      <c r="AD441" s="193" t="s">
        <v>985</v>
      </c>
      <c r="AE441" s="193"/>
      <c r="AF441" s="152" t="s">
        <v>991</v>
      </c>
      <c r="AG441" s="911" t="s">
        <v>1951</v>
      </c>
      <c r="AH441" s="152" t="s">
        <v>985</v>
      </c>
      <c r="AI441" s="152"/>
      <c r="AJ441" s="193" t="s">
        <v>985</v>
      </c>
      <c r="AK441" s="193"/>
      <c r="AL441" s="210" t="s">
        <v>985</v>
      </c>
      <c r="AM441" s="152" t="s">
        <v>1136</v>
      </c>
      <c r="AN441" s="152" t="s">
        <v>1136</v>
      </c>
      <c r="AO441" s="824" t="s">
        <v>2072</v>
      </c>
      <c r="AP441" s="911" t="s">
        <v>2586</v>
      </c>
      <c r="AQ441" s="911" t="s">
        <v>2677</v>
      </c>
      <c r="AS441" s="151">
        <v>1550</v>
      </c>
      <c r="AT441" s="154"/>
      <c r="AU441" s="405">
        <v>5</v>
      </c>
      <c r="AV441" s="405"/>
      <c r="AW441" s="405">
        <f>VLOOKUP(Таблица7[[#This Row],[Основное оружие]], Оружие[#All], 2, 0)</f>
        <v>1</v>
      </c>
      <c r="AX441" s="405" t="str">
        <f>IF(ISBLANK(Таблица7[[#This Row],[Дополнительное оружие]]),"", VLOOKUP(Таблица7[[#This Row],[Дополнительное оружие]], Оружие[#All], 2, 0))</f>
        <v/>
      </c>
      <c r="AY44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4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441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41" s="405">
        <f>VLOOKUP(Таблица7[[#This Row],[Основное оружие]], Оружие[#All], 3, 0)</f>
        <v>1</v>
      </c>
      <c r="BC441" s="405" t="str">
        <f>IF(ISBLANK(Таблица7[[#This Row],[Дополнительное оружие]]),"", VLOOKUP(Таблица7[[#This Row],[Дополнительное оружие]], Оружие[#All], 3, 0))</f>
        <v/>
      </c>
      <c r="BD44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4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4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4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4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1" s="405">
        <f>Таблица7[[#This Row],[Броня]]+Таблица7[[#This Row],[Щит]]+Таблица7[[#This Row],[навык защиты]]</f>
        <v>5</v>
      </c>
      <c r="BK441" s="1006"/>
      <c r="BL441" s="1006"/>
      <c r="BM441" s="400"/>
      <c r="BN441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41" s="400">
        <v>2</v>
      </c>
      <c r="BP441" s="400">
        <v>-1</v>
      </c>
      <c r="BQ441" s="400">
        <v>-1</v>
      </c>
      <c r="BR441" s="400">
        <v>-2</v>
      </c>
      <c r="BS441" s="400">
        <v>1</v>
      </c>
      <c r="BT441" s="400">
        <v>9</v>
      </c>
      <c r="BU441" s="1002" t="s">
        <v>1840</v>
      </c>
      <c r="BV441" s="1002" t="s">
        <v>1843</v>
      </c>
      <c r="BW441" s="400"/>
      <c r="BX441" s="400"/>
      <c r="BY441" s="400"/>
      <c r="BZ441" s="155"/>
    </row>
    <row r="442" spans="1:78" s="151" customFormat="1" ht="40.5" customHeight="1" x14ac:dyDescent="0.25">
      <c r="A442" s="333">
        <v>441</v>
      </c>
      <c r="B442" s="150" t="s">
        <v>1393</v>
      </c>
      <c r="C442" s="150" t="s">
        <v>2687</v>
      </c>
      <c r="D442" s="150" t="s">
        <v>1555</v>
      </c>
      <c r="E442" s="152" t="s">
        <v>1547</v>
      </c>
      <c r="F442" s="152"/>
      <c r="G442" s="152"/>
      <c r="H442" s="152"/>
      <c r="I442" s="663">
        <v>0.75</v>
      </c>
      <c r="J442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442" s="631">
        <f>Таблица7[[#This Row],[Размер отряда минимум]]*1.25</f>
        <v>18.75</v>
      </c>
      <c r="L442" s="631">
        <f>Таблица7[[#This Row],[Размер отряда норма]]*1.5</f>
        <v>28.125</v>
      </c>
      <c r="M442" s="633">
        <f>Таблица7[[#This Row],[Размер отряда минимум]]*2.5</f>
        <v>37.5</v>
      </c>
      <c r="N442" s="633"/>
      <c r="O442" s="633"/>
      <c r="P442" s="633"/>
      <c r="Q442" s="633"/>
      <c r="R442" s="152" t="s">
        <v>1135</v>
      </c>
      <c r="S442" s="824" t="s">
        <v>2072</v>
      </c>
      <c r="T442" s="152" t="s">
        <v>975</v>
      </c>
      <c r="U442" s="908" t="s">
        <v>2688</v>
      </c>
      <c r="V442" s="910" t="s">
        <v>2689</v>
      </c>
      <c r="W442" s="152" t="s">
        <v>1001</v>
      </c>
      <c r="X442" s="152" t="s">
        <v>1528</v>
      </c>
      <c r="Y442" s="487" t="s">
        <v>2024</v>
      </c>
      <c r="Z442" s="487" t="s">
        <v>1036</v>
      </c>
      <c r="AA442" s="487" t="s">
        <v>1929</v>
      </c>
      <c r="AB442" s="152"/>
      <c r="AC442" s="152"/>
      <c r="AD442" s="193" t="s">
        <v>1002</v>
      </c>
      <c r="AE442" s="908" t="s">
        <v>2025</v>
      </c>
      <c r="AF442" s="152" t="s">
        <v>985</v>
      </c>
      <c r="AG442" s="152"/>
      <c r="AH442" s="152" t="s">
        <v>985</v>
      </c>
      <c r="AI442" s="152"/>
      <c r="AJ442" s="152" t="s">
        <v>1004</v>
      </c>
      <c r="AK442" s="911" t="s">
        <v>1952</v>
      </c>
      <c r="AL442" s="210" t="s">
        <v>1163</v>
      </c>
      <c r="AM442" s="152" t="s">
        <v>1136</v>
      </c>
      <c r="AN442" s="152" t="s">
        <v>1136</v>
      </c>
      <c r="AO442" s="824" t="s">
        <v>2072</v>
      </c>
      <c r="AP442" s="152" t="s">
        <v>1024</v>
      </c>
      <c r="AQ442" s="911" t="s">
        <v>2085</v>
      </c>
      <c r="AS442" s="151">
        <v>1500</v>
      </c>
      <c r="AT442" s="154">
        <v>1565</v>
      </c>
      <c r="AU442" s="405">
        <v>7</v>
      </c>
      <c r="AV442" s="405"/>
      <c r="AW442" s="405">
        <f>VLOOKUP(Таблица7[[#This Row],[Основное оружие]], Оружие[#All], 2, 0)</f>
        <v>2</v>
      </c>
      <c r="AX442" s="405">
        <f>IF(ISBLANK(Таблица7[[#This Row],[Дополнительное оружие]]),"", VLOOKUP(Таблица7[[#This Row],[Дополнительное оружие]], Оружие[#All], 2, 0))</f>
        <v>5</v>
      </c>
      <c r="AY44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4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44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42" s="405">
        <f>VLOOKUP(Таблица7[[#This Row],[Основное оружие]], Оружие[#All], 3, 0)</f>
        <v>6</v>
      </c>
      <c r="BC442" s="405">
        <f>IF(ISBLANK(Таблица7[[#This Row],[Дополнительное оружие]]),"", VLOOKUP(Таблица7[[#This Row],[Дополнительное оружие]], Оружие[#All], 3, 0))</f>
        <v>3</v>
      </c>
      <c r="BD44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4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4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2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4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4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2" s="405">
        <f>Таблица7[[#This Row],[Броня]]+Таблица7[[#This Row],[Щит]]+Таблица7[[#This Row],[навык защиты]]</f>
        <v>24</v>
      </c>
      <c r="BK442" s="1006"/>
      <c r="BL442" s="1006"/>
      <c r="BM442" s="400"/>
      <c r="BN442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42" s="400">
        <v>1</v>
      </c>
      <c r="BP442" s="399">
        <v>-2</v>
      </c>
      <c r="BQ442" s="399">
        <v>0</v>
      </c>
      <c r="BR442" s="399">
        <v>-4</v>
      </c>
      <c r="BS442" s="399">
        <v>-2</v>
      </c>
      <c r="BT442" s="400">
        <v>9</v>
      </c>
      <c r="BU442" s="1002" t="s">
        <v>1576</v>
      </c>
      <c r="BV442" s="1002" t="s">
        <v>1843</v>
      </c>
      <c r="BW442" s="400"/>
      <c r="BX442" s="400"/>
      <c r="BY442" s="400"/>
      <c r="BZ442" s="155"/>
    </row>
    <row r="443" spans="1:78" s="151" customFormat="1" ht="40.5" customHeight="1" x14ac:dyDescent="0.25">
      <c r="A443" s="333">
        <v>442</v>
      </c>
      <c r="B443" s="150" t="s">
        <v>1393</v>
      </c>
      <c r="C443" s="150" t="s">
        <v>2687</v>
      </c>
      <c r="D443" s="150" t="s">
        <v>1555</v>
      </c>
      <c r="E443" s="152" t="s">
        <v>1547</v>
      </c>
      <c r="F443" s="152"/>
      <c r="G443" s="152"/>
      <c r="H443" s="152"/>
      <c r="I443" s="663">
        <v>0.75</v>
      </c>
      <c r="J443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443" s="631">
        <f>Таблица7[[#This Row],[Размер отряда минимум]]*1.25</f>
        <v>22.5</v>
      </c>
      <c r="L443" s="631">
        <f>Таблица7[[#This Row],[Размер отряда норма]]*1.5</f>
        <v>33.75</v>
      </c>
      <c r="M443" s="633">
        <f>Таблица7[[#This Row],[Размер отряда минимум]]*2.5</f>
        <v>45</v>
      </c>
      <c r="N443" s="633"/>
      <c r="O443" s="633"/>
      <c r="P443" s="633"/>
      <c r="Q443" s="633"/>
      <c r="R443" s="152" t="s">
        <v>1135</v>
      </c>
      <c r="S443" s="824" t="s">
        <v>2072</v>
      </c>
      <c r="T443" s="152" t="s">
        <v>976</v>
      </c>
      <c r="U443" s="908" t="s">
        <v>2688</v>
      </c>
      <c r="V443" s="910" t="s">
        <v>2689</v>
      </c>
      <c r="W443" s="152" t="s">
        <v>1001</v>
      </c>
      <c r="X443" s="152" t="s">
        <v>1528</v>
      </c>
      <c r="Y443" s="487" t="s">
        <v>2024</v>
      </c>
      <c r="Z443" s="152" t="s">
        <v>1440</v>
      </c>
      <c r="AA443" s="911" t="s">
        <v>2020</v>
      </c>
      <c r="AB443" s="152"/>
      <c r="AC443" s="152"/>
      <c r="AD443" s="193" t="s">
        <v>1481</v>
      </c>
      <c r="AE443" s="193" t="s">
        <v>1978</v>
      </c>
      <c r="AF443" s="152" t="s">
        <v>985</v>
      </c>
      <c r="AG443" s="152"/>
      <c r="AH443" s="152" t="s">
        <v>985</v>
      </c>
      <c r="AI443" s="152"/>
      <c r="AJ443" s="152" t="s">
        <v>1005</v>
      </c>
      <c r="AK443" s="152" t="s">
        <v>2031</v>
      </c>
      <c r="AL443" s="210" t="s">
        <v>985</v>
      </c>
      <c r="AM443" s="152" t="s">
        <v>1136</v>
      </c>
      <c r="AN443" s="152" t="s">
        <v>1136</v>
      </c>
      <c r="AO443" s="824" t="s">
        <v>2072</v>
      </c>
      <c r="AP443" s="152" t="s">
        <v>1024</v>
      </c>
      <c r="AQ443" s="911" t="s">
        <v>2085</v>
      </c>
      <c r="AS443" s="151">
        <v>1565</v>
      </c>
      <c r="AT443" s="154"/>
      <c r="AU443" s="405">
        <v>7</v>
      </c>
      <c r="AV443" s="405"/>
      <c r="AW443" s="405">
        <f>VLOOKUP(Таблица7[[#This Row],[Основное оружие]], Оружие[#All], 2, 0)</f>
        <v>2</v>
      </c>
      <c r="AX443" s="405">
        <f>IF(ISBLANK(Таблица7[[#This Row],[Дополнительное оружие]]),"", VLOOKUP(Таблица7[[#This Row],[Дополнительное оружие]], Оружие[#All], 2, 0))</f>
        <v>4</v>
      </c>
      <c r="AY44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4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44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43" s="405">
        <f>VLOOKUP(Таблица7[[#This Row],[Основное оружие]], Оружие[#All], 3, 0)</f>
        <v>6</v>
      </c>
      <c r="BC443" s="405">
        <f>IF(ISBLANK(Таблица7[[#This Row],[Дополнительное оружие]]),"", VLOOKUP(Таблица7[[#This Row],[Дополнительное оружие]], Оружие[#All], 3, 0))</f>
        <v>3</v>
      </c>
      <c r="BD44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44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4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3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44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4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3" s="405">
        <f>Таблица7[[#This Row],[Броня]]+Таблица7[[#This Row],[Щит]]+Таблица7[[#This Row],[навык защиты]]</f>
        <v>21</v>
      </c>
      <c r="BK443" s="1006"/>
      <c r="BL443" s="1006"/>
      <c r="BM443" s="400"/>
      <c r="BN443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43" s="400">
        <v>1</v>
      </c>
      <c r="BP443" s="399">
        <v>-2</v>
      </c>
      <c r="BQ443" s="399">
        <v>0</v>
      </c>
      <c r="BR443" s="399">
        <v>-4</v>
      </c>
      <c r="BS443" s="399">
        <v>-2</v>
      </c>
      <c r="BT443" s="400">
        <v>9</v>
      </c>
      <c r="BU443" s="1002" t="s">
        <v>1576</v>
      </c>
      <c r="BV443" s="1002" t="s">
        <v>1843</v>
      </c>
      <c r="BW443" s="400"/>
      <c r="BX443" s="400"/>
      <c r="BY443" s="400"/>
      <c r="BZ443" s="155"/>
    </row>
    <row r="444" spans="1:78" s="151" customFormat="1" ht="40.5" customHeight="1" x14ac:dyDescent="0.25">
      <c r="A444" s="333">
        <v>443</v>
      </c>
      <c r="B444" s="150" t="s">
        <v>1394</v>
      </c>
      <c r="C444" s="150"/>
      <c r="D444" s="150" t="s">
        <v>1555</v>
      </c>
      <c r="E444" s="152" t="s">
        <v>1558</v>
      </c>
      <c r="F444" s="152"/>
      <c r="G444" s="152"/>
      <c r="H444" s="152"/>
      <c r="I444" s="663">
        <v>0.75</v>
      </c>
      <c r="J444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444" s="631">
        <f>Таблица7[[#This Row],[Размер отряда минимум]]*1.25</f>
        <v>33.75</v>
      </c>
      <c r="L444" s="631">
        <f>Таблица7[[#This Row],[Размер отряда норма]]*1.5</f>
        <v>50.625</v>
      </c>
      <c r="M444" s="633">
        <f>Таблица7[[#This Row],[Размер отряда минимум]]*2.5</f>
        <v>67.5</v>
      </c>
      <c r="N444" s="633"/>
      <c r="O444" s="633"/>
      <c r="P444" s="633"/>
      <c r="Q444" s="633"/>
      <c r="R444" s="152" t="s">
        <v>1135</v>
      </c>
      <c r="S444" s="824" t="s">
        <v>2072</v>
      </c>
      <c r="T444" s="152" t="s">
        <v>975</v>
      </c>
      <c r="U444" s="908" t="s">
        <v>2630</v>
      </c>
      <c r="V444" s="153"/>
      <c r="W444" s="152" t="s">
        <v>1001</v>
      </c>
      <c r="X444" s="152" t="s">
        <v>1528</v>
      </c>
      <c r="Y444" s="152"/>
      <c r="Z444" s="343" t="s">
        <v>1441</v>
      </c>
      <c r="AA444" s="343"/>
      <c r="AB444" s="343"/>
      <c r="AC444" s="343"/>
      <c r="AD444" s="193" t="s">
        <v>985</v>
      </c>
      <c r="AE444" s="193"/>
      <c r="AF444" s="152" t="s">
        <v>1027</v>
      </c>
      <c r="AG444" s="152"/>
      <c r="AH444" s="152" t="s">
        <v>1202</v>
      </c>
      <c r="AI444" s="152"/>
      <c r="AJ444" s="193" t="s">
        <v>985</v>
      </c>
      <c r="AK444" s="193"/>
      <c r="AL444" s="210" t="s">
        <v>985</v>
      </c>
      <c r="AM444" s="152" t="s">
        <v>1136</v>
      </c>
      <c r="AN444" s="152" t="s">
        <v>1136</v>
      </c>
      <c r="AO444" s="824" t="s">
        <v>2072</v>
      </c>
      <c r="AP444" s="152" t="s">
        <v>1140</v>
      </c>
      <c r="AQ444" s="152"/>
      <c r="AS444" s="151">
        <v>1500</v>
      </c>
      <c r="AT444" s="154">
        <v>1550</v>
      </c>
      <c r="AU444" s="405">
        <v>8</v>
      </c>
      <c r="AV444" s="405"/>
      <c r="AW444" s="405">
        <f>VLOOKUP(Таблица7[[#This Row],[Основное оружие]], Оружие[#All], 2, 0)</f>
        <v>2</v>
      </c>
      <c r="AX444" s="405">
        <f>IF(ISBLANK(Таблица7[[#This Row],[Дополнительное оружие]]),"", VLOOKUP(Таблица7[[#This Row],[Дополнительное оружие]], Оружие[#All], 2, 0))</f>
        <v>4</v>
      </c>
      <c r="AY44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4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44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44" s="405">
        <f>VLOOKUP(Таблица7[[#This Row],[Основное оружие]], Оружие[#All], 3, 0)</f>
        <v>6</v>
      </c>
      <c r="BC444" s="405">
        <f>IF(ISBLANK(Таблица7[[#This Row],[Дополнительное оружие]]),"", VLOOKUP(Таблица7[[#This Row],[Дополнительное оружие]], Оружие[#All], 3, 0))</f>
        <v>3</v>
      </c>
      <c r="BD44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4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6</v>
      </c>
      <c r="BF444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8</v>
      </c>
      <c r="BG44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4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44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4" s="405">
        <f>Таблица7[[#This Row],[Броня]]+Таблица7[[#This Row],[Щит]]+Таблица7[[#This Row],[навык защиты]]</f>
        <v>8</v>
      </c>
      <c r="BK444" s="1006"/>
      <c r="BL444" s="1006"/>
      <c r="BM444" s="400"/>
      <c r="BN444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44" s="400">
        <v>1</v>
      </c>
      <c r="BP444" s="399">
        <v>-2</v>
      </c>
      <c r="BQ444" s="399">
        <v>0</v>
      </c>
      <c r="BR444" s="399">
        <v>-4</v>
      </c>
      <c r="BS444" s="399">
        <v>-2</v>
      </c>
      <c r="BT444" s="400">
        <v>9</v>
      </c>
      <c r="BU444" s="1002" t="s">
        <v>1576</v>
      </c>
      <c r="BV444" s="1002" t="s">
        <v>1843</v>
      </c>
      <c r="BW444" s="400"/>
      <c r="BX444" s="400"/>
      <c r="BY444" s="400"/>
      <c r="BZ444" s="155"/>
    </row>
    <row r="445" spans="1:78" s="151" customFormat="1" ht="40.5" customHeight="1" x14ac:dyDescent="0.25">
      <c r="A445" s="333">
        <v>444</v>
      </c>
      <c r="B445" s="150" t="s">
        <v>1395</v>
      </c>
      <c r="C445" s="150"/>
      <c r="D445" s="150" t="s">
        <v>1555</v>
      </c>
      <c r="E445" s="152" t="s">
        <v>1546</v>
      </c>
      <c r="F445" s="152"/>
      <c r="G445" s="152"/>
      <c r="H445" s="152"/>
      <c r="I445" s="663">
        <v>0.75</v>
      </c>
      <c r="J445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445" s="631">
        <f>Таблица7[[#This Row],[Размер отряда минимум]]*1.25</f>
        <v>37.5</v>
      </c>
      <c r="L445" s="631">
        <f>Таблица7[[#This Row],[Размер отряда норма]]*1.5</f>
        <v>56.25</v>
      </c>
      <c r="M445" s="633">
        <f>Таблица7[[#This Row],[Размер отряда минимум]]*2.5</f>
        <v>75</v>
      </c>
      <c r="N445" s="633"/>
      <c r="O445" s="633"/>
      <c r="P445" s="633"/>
      <c r="Q445" s="633"/>
      <c r="R445" s="152" t="s">
        <v>1135</v>
      </c>
      <c r="S445" s="824" t="s">
        <v>2072</v>
      </c>
      <c r="T445" s="152" t="s">
        <v>976</v>
      </c>
      <c r="U445" s="908" t="s">
        <v>2631</v>
      </c>
      <c r="V445" s="153"/>
      <c r="W445" s="152" t="s">
        <v>1001</v>
      </c>
      <c r="X445" s="152" t="s">
        <v>1528</v>
      </c>
      <c r="Y445" s="152"/>
      <c r="Z445" s="152" t="s">
        <v>1036</v>
      </c>
      <c r="AA445" s="152"/>
      <c r="AB445" s="152"/>
      <c r="AC445" s="152"/>
      <c r="AD445" s="193" t="s">
        <v>985</v>
      </c>
      <c r="AE445" s="193"/>
      <c r="AF445" s="152" t="s">
        <v>991</v>
      </c>
      <c r="AG445" s="152"/>
      <c r="AH445" s="152" t="s">
        <v>985</v>
      </c>
      <c r="AI445" s="152"/>
      <c r="AJ445" s="193" t="s">
        <v>985</v>
      </c>
      <c r="AK445" s="193"/>
      <c r="AL445" s="210" t="s">
        <v>985</v>
      </c>
      <c r="AM445" s="152" t="s">
        <v>1136</v>
      </c>
      <c r="AN445" s="152" t="s">
        <v>1136</v>
      </c>
      <c r="AO445" s="824" t="s">
        <v>2072</v>
      </c>
      <c r="AP445" s="152" t="s">
        <v>1141</v>
      </c>
      <c r="AQ445" s="152"/>
      <c r="AS445" s="151">
        <v>1550</v>
      </c>
      <c r="AT445" s="154"/>
      <c r="AU445" s="405">
        <v>3</v>
      </c>
      <c r="AV445" s="405"/>
      <c r="AW445" s="405">
        <f>VLOOKUP(Таблица7[[#This Row],[Основное оружие]], Оружие[#All], 2, 0)</f>
        <v>2</v>
      </c>
      <c r="AX445" s="405">
        <f>IF(ISBLANK(Таблица7[[#This Row],[Дополнительное оружие]]),"", VLOOKUP(Таблица7[[#This Row],[Дополнительное оружие]], Оружие[#All], 2, 0))</f>
        <v>5</v>
      </c>
      <c r="AY44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4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44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45" s="405">
        <f>VLOOKUP(Таблица7[[#This Row],[Основное оружие]], Оружие[#All], 3, 0)</f>
        <v>6</v>
      </c>
      <c r="BC445" s="405">
        <f>IF(ISBLANK(Таблица7[[#This Row],[Дополнительное оружие]]),"", VLOOKUP(Таблица7[[#This Row],[Дополнительное оружие]], Оружие[#All], 3, 0))</f>
        <v>3</v>
      </c>
      <c r="BD44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4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44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4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44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5" s="405">
        <f>Таблица7[[#This Row],[Броня]]+Таблица7[[#This Row],[Щит]]+Таблица7[[#This Row],[навык защиты]]</f>
        <v>3</v>
      </c>
      <c r="BK445" s="1008" t="s">
        <v>1589</v>
      </c>
      <c r="BL445" s="1008"/>
      <c r="BM445" s="400"/>
      <c r="BN445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45" s="400">
        <v>1</v>
      </c>
      <c r="BP445" s="399">
        <v>-2</v>
      </c>
      <c r="BQ445" s="399">
        <v>0</v>
      </c>
      <c r="BR445" s="399">
        <v>-4</v>
      </c>
      <c r="BS445" s="399">
        <v>-2</v>
      </c>
      <c r="BT445" s="400">
        <v>7</v>
      </c>
      <c r="BU445" s="1002" t="s">
        <v>1839</v>
      </c>
      <c r="BV445" s="1002" t="s">
        <v>1843</v>
      </c>
      <c r="BW445" s="400"/>
      <c r="BX445" s="400"/>
      <c r="BY445" s="400"/>
      <c r="BZ445" s="155"/>
    </row>
    <row r="446" spans="1:78" s="151" customFormat="1" ht="40.5" customHeight="1" x14ac:dyDescent="0.25">
      <c r="A446" s="333">
        <v>445</v>
      </c>
      <c r="B446" s="150" t="s">
        <v>1398</v>
      </c>
      <c r="C446" s="150"/>
      <c r="D446" s="152" t="s">
        <v>1556</v>
      </c>
      <c r="E446" s="152" t="s">
        <v>1547</v>
      </c>
      <c r="F446" s="152"/>
      <c r="G446" s="152"/>
      <c r="H446" s="152"/>
      <c r="I446" s="663"/>
      <c r="J446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0</v>
      </c>
      <c r="K446" s="631">
        <f>Таблица7[[#This Row],[Размер отряда минимум]]*1.25</f>
        <v>0</v>
      </c>
      <c r="L446" s="631">
        <f>Таблица7[[#This Row],[Размер отряда норма]]*1.5</f>
        <v>0</v>
      </c>
      <c r="M446" s="633">
        <f>Таблица7[[#This Row],[Размер отряда минимум]]*2.5</f>
        <v>0</v>
      </c>
      <c r="N446" s="633"/>
      <c r="O446" s="633"/>
      <c r="P446" s="633"/>
      <c r="Q446" s="633"/>
      <c r="R446" s="152" t="s">
        <v>1135</v>
      </c>
      <c r="S446" s="824" t="s">
        <v>2072</v>
      </c>
      <c r="T446" s="152" t="s">
        <v>975</v>
      </c>
      <c r="U446" s="908" t="s">
        <v>2632</v>
      </c>
      <c r="V446" s="153"/>
      <c r="W446" s="152" t="s">
        <v>1001</v>
      </c>
      <c r="X446" s="437" t="s">
        <v>1442</v>
      </c>
      <c r="Y446" s="437"/>
      <c r="Z446" s="152"/>
      <c r="AA446" s="152"/>
      <c r="AB446" s="152"/>
      <c r="AC446" s="152"/>
      <c r="AD446" s="193" t="s">
        <v>1002</v>
      </c>
      <c r="AE446" s="193"/>
      <c r="AF446" s="152" t="s">
        <v>985</v>
      </c>
      <c r="AG446" s="152"/>
      <c r="AH446" s="152" t="s">
        <v>985</v>
      </c>
      <c r="AI446" s="152"/>
      <c r="AJ446" s="152" t="s">
        <v>1004</v>
      </c>
      <c r="AK446" s="152"/>
      <c r="AL446" s="210" t="s">
        <v>985</v>
      </c>
      <c r="AM446" s="152" t="s">
        <v>1136</v>
      </c>
      <c r="AN446" s="152" t="s">
        <v>1136</v>
      </c>
      <c r="AO446" s="824" t="s">
        <v>2072</v>
      </c>
      <c r="AP446" s="152" t="s">
        <v>1141</v>
      </c>
      <c r="AQ446" s="152"/>
      <c r="AS446" s="151">
        <v>1500</v>
      </c>
      <c r="AT446" s="154">
        <v>1550</v>
      </c>
      <c r="AU446" s="405">
        <v>7</v>
      </c>
      <c r="AV446" s="405"/>
      <c r="AW446" s="405">
        <f>VLOOKUP(Таблица7[[#This Row],[Основное оружие]], Оружие[#All], 2, 0)</f>
        <v>6</v>
      </c>
      <c r="AX446" s="405" t="str">
        <f>IF(ISBLANK(Таблица7[[#This Row],[Дополнительное оружие]]),"", VLOOKUP(Таблица7[[#This Row],[Дополнительное оружие]], Оружие[#All], 2, 0))</f>
        <v/>
      </c>
      <c r="AY44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4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44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46" s="405">
        <f>VLOOKUP(Таблица7[[#This Row],[Основное оружие]], Оружие[#All], 3, 0)</f>
        <v>6</v>
      </c>
      <c r="BC446" s="405" t="str">
        <f>IF(ISBLANK(Таблица7[[#This Row],[Дополнительное оружие]]),"", VLOOKUP(Таблица7[[#This Row],[Дополнительное оружие]], Оружие[#All], 3, 0))</f>
        <v/>
      </c>
      <c r="BD44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4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4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6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4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7</v>
      </c>
      <c r="BI44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6" s="405">
        <f>Таблица7[[#This Row],[Броня]]+Таблица7[[#This Row],[Щит]]+Таблица7[[#This Row],[навык защиты]]</f>
        <v>27</v>
      </c>
      <c r="BK446" s="1006"/>
      <c r="BL446" s="1008" t="s">
        <v>1585</v>
      </c>
      <c r="BM446" s="400"/>
      <c r="BN446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46" s="400">
        <v>1</v>
      </c>
      <c r="BP446" s="400">
        <v>0</v>
      </c>
      <c r="BQ446" s="400">
        <v>0</v>
      </c>
      <c r="BR446" s="400">
        <v>0</v>
      </c>
      <c r="BS446" s="400">
        <v>0</v>
      </c>
      <c r="BT446" s="400">
        <v>9</v>
      </c>
      <c r="BU446" s="1002" t="s">
        <v>1576</v>
      </c>
      <c r="BV446" s="1002" t="s">
        <v>1843</v>
      </c>
      <c r="BW446" s="400"/>
      <c r="BX446" s="400"/>
      <c r="BY446" s="400"/>
      <c r="BZ446" s="155"/>
    </row>
    <row r="447" spans="1:78" s="151" customFormat="1" ht="40.5" customHeight="1" x14ac:dyDescent="0.25">
      <c r="A447" s="333">
        <v>446</v>
      </c>
      <c r="B447" s="150" t="s">
        <v>1396</v>
      </c>
      <c r="C447" s="150"/>
      <c r="D447" s="150" t="s">
        <v>1555</v>
      </c>
      <c r="E447" s="152" t="s">
        <v>1547</v>
      </c>
      <c r="F447" s="152"/>
      <c r="G447" s="152"/>
      <c r="H447" s="152"/>
      <c r="I447" s="663">
        <v>0.75</v>
      </c>
      <c r="J447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447" s="631">
        <f>Таблица7[[#This Row],[Размер отряда минимум]]*1.25</f>
        <v>18.75</v>
      </c>
      <c r="L447" s="631">
        <f>Таблица7[[#This Row],[Размер отряда норма]]*1.5</f>
        <v>28.125</v>
      </c>
      <c r="M447" s="633">
        <f>Таблица7[[#This Row],[Размер отряда минимум]]*2.5</f>
        <v>37.5</v>
      </c>
      <c r="N447" s="633"/>
      <c r="O447" s="633"/>
      <c r="P447" s="633"/>
      <c r="Q447" s="633"/>
      <c r="R447" s="152" t="s">
        <v>1135</v>
      </c>
      <c r="S447" s="824" t="s">
        <v>2072</v>
      </c>
      <c r="T447" s="152" t="s">
        <v>975</v>
      </c>
      <c r="U447" s="908" t="s">
        <v>2633</v>
      </c>
      <c r="V447" s="153"/>
      <c r="W447" s="152" t="s">
        <v>1001</v>
      </c>
      <c r="X447" s="152" t="s">
        <v>1528</v>
      </c>
      <c r="Y447" s="152"/>
      <c r="Z447" s="152" t="s">
        <v>1036</v>
      </c>
      <c r="AA447" s="152"/>
      <c r="AB447" s="152"/>
      <c r="AC447" s="152"/>
      <c r="AD447" s="193" t="s">
        <v>1002</v>
      </c>
      <c r="AE447" s="193"/>
      <c r="AF447" s="152" t="s">
        <v>985</v>
      </c>
      <c r="AG447" s="152"/>
      <c r="AH447" s="152" t="s">
        <v>985</v>
      </c>
      <c r="AI447" s="152"/>
      <c r="AJ447" s="152" t="s">
        <v>1004</v>
      </c>
      <c r="AK447" s="152"/>
      <c r="AL447" s="210" t="s">
        <v>1163</v>
      </c>
      <c r="AM447" s="152" t="s">
        <v>1136</v>
      </c>
      <c r="AN447" s="152" t="s">
        <v>1136</v>
      </c>
      <c r="AO447" s="824" t="s">
        <v>2072</v>
      </c>
      <c r="AP447" s="152" t="s">
        <v>1141</v>
      </c>
      <c r="AQ447" s="152"/>
      <c r="AS447" s="151">
        <v>1500</v>
      </c>
      <c r="AT447" s="154">
        <v>1565</v>
      </c>
      <c r="AU447" s="405">
        <v>7</v>
      </c>
      <c r="AV447" s="405"/>
      <c r="AW447" s="405">
        <f>VLOOKUP(Таблица7[[#This Row],[Основное оружие]], Оружие[#All], 2, 0)</f>
        <v>2</v>
      </c>
      <c r="AX447" s="405">
        <f>IF(ISBLANK(Таблица7[[#This Row],[Дополнительное оружие]]),"", VLOOKUP(Таблица7[[#This Row],[Дополнительное оружие]], Оружие[#All], 2, 0))</f>
        <v>5</v>
      </c>
      <c r="AY44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4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44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47" s="405">
        <f>VLOOKUP(Таблица7[[#This Row],[Основное оружие]], Оружие[#All], 3, 0)</f>
        <v>6</v>
      </c>
      <c r="BC447" s="405">
        <f>IF(ISBLANK(Таблица7[[#This Row],[Дополнительное оружие]]),"", VLOOKUP(Таблица7[[#This Row],[Дополнительное оружие]], Оружие[#All], 3, 0))</f>
        <v>3</v>
      </c>
      <c r="BD44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4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4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7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4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4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7" s="405">
        <f>Таблица7[[#This Row],[Броня]]+Таблица7[[#This Row],[Щит]]+Таблица7[[#This Row],[навык защиты]]</f>
        <v>24</v>
      </c>
      <c r="BK447" s="1006"/>
      <c r="BL447" s="1006"/>
      <c r="BM447" s="400"/>
      <c r="BN447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47" s="400">
        <v>1</v>
      </c>
      <c r="BP447" s="399">
        <v>-2</v>
      </c>
      <c r="BQ447" s="399">
        <v>0</v>
      </c>
      <c r="BR447" s="399">
        <v>-4</v>
      </c>
      <c r="BS447" s="399">
        <v>-2</v>
      </c>
      <c r="BT447" s="400">
        <v>7</v>
      </c>
      <c r="BU447" s="1002" t="s">
        <v>1840</v>
      </c>
      <c r="BV447" s="1002" t="s">
        <v>1843</v>
      </c>
      <c r="BW447" s="400"/>
      <c r="BX447" s="400"/>
      <c r="BY447" s="400"/>
      <c r="BZ447" s="155"/>
    </row>
    <row r="448" spans="1:78" s="151" customFormat="1" ht="40.5" customHeight="1" x14ac:dyDescent="0.25">
      <c r="A448" s="333">
        <v>447</v>
      </c>
      <c r="B448" s="340" t="s">
        <v>1397</v>
      </c>
      <c r="C448" s="340"/>
      <c r="D448" s="340" t="s">
        <v>1555</v>
      </c>
      <c r="E448" s="150" t="s">
        <v>1572</v>
      </c>
      <c r="F448" s="150"/>
      <c r="G448" s="150"/>
      <c r="H448" s="150"/>
      <c r="I448" s="663">
        <v>0.75</v>
      </c>
      <c r="J448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18</v>
      </c>
      <c r="K448" s="631">
        <f>Таблица7[[#This Row],[Размер отряда минимум]]*1.25</f>
        <v>22.5</v>
      </c>
      <c r="L448" s="631">
        <f>Таблица7[[#This Row],[Размер отряда норма]]*1.5</f>
        <v>33.75</v>
      </c>
      <c r="M448" s="631">
        <f>Таблица7[[#This Row],[Размер отряда минимум]]*2.5</f>
        <v>45</v>
      </c>
      <c r="N448" s="631"/>
      <c r="O448" s="631"/>
      <c r="P448" s="631"/>
      <c r="Q448" s="631"/>
      <c r="R448" s="193" t="s">
        <v>1135</v>
      </c>
      <c r="S448" s="824" t="s">
        <v>2072</v>
      </c>
      <c r="T448" s="152" t="s">
        <v>976</v>
      </c>
      <c r="U448" s="908" t="s">
        <v>2634</v>
      </c>
      <c r="V448" s="153"/>
      <c r="W448" s="152" t="s">
        <v>1001</v>
      </c>
      <c r="X448" s="784" t="s">
        <v>1950</v>
      </c>
      <c r="Y448" s="193"/>
      <c r="Z448" s="193" t="s">
        <v>1440</v>
      </c>
      <c r="AA448" s="193"/>
      <c r="AB448" s="193"/>
      <c r="AC448" s="193"/>
      <c r="AD448" s="193" t="s">
        <v>1481</v>
      </c>
      <c r="AE448" s="193"/>
      <c r="AF448" s="152" t="s">
        <v>985</v>
      </c>
      <c r="AG448" s="152"/>
      <c r="AH448" s="152" t="s">
        <v>985</v>
      </c>
      <c r="AI448" s="152"/>
      <c r="AJ448" s="193" t="s">
        <v>1005</v>
      </c>
      <c r="AK448" s="193"/>
      <c r="AL448" s="210" t="s">
        <v>985</v>
      </c>
      <c r="AM448" s="193" t="s">
        <v>1136</v>
      </c>
      <c r="AN448" s="193" t="s">
        <v>1136</v>
      </c>
      <c r="AO448" s="824" t="s">
        <v>2072</v>
      </c>
      <c r="AP448" s="193" t="s">
        <v>1141</v>
      </c>
      <c r="AQ448" s="193"/>
      <c r="AR448" s="339"/>
      <c r="AS448" s="151">
        <v>1565</v>
      </c>
      <c r="AT448" s="154"/>
      <c r="AU448" s="406">
        <v>3</v>
      </c>
      <c r="AV448" s="405" t="s">
        <v>1827</v>
      </c>
      <c r="AW448" s="405">
        <f>VLOOKUP(Таблица7[[#This Row],[Основное оружие]], Оружие[#All], 2, 0)</f>
        <v>0</v>
      </c>
      <c r="AX448" s="405">
        <f>IF(ISBLANK(Таблица7[[#This Row],[Дополнительное оружие]]),"", VLOOKUP(Таблица7[[#This Row],[Дополнительное оружие]], Оружие[#All], 2, 0))</f>
        <v>4</v>
      </c>
      <c r="AY44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44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4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6</v>
      </c>
      <c r="BB448" s="405">
        <f>VLOOKUP(Таблица7[[#This Row],[Основное оружие]], Оружие[#All], 3, 0)</f>
        <v>1</v>
      </c>
      <c r="BC448" s="405">
        <f>IF(ISBLANK(Таблица7[[#This Row],[Дополнительное оружие]]),"", VLOOKUP(Таблица7[[#This Row],[Дополнительное оружие]], Оружие[#All], 3, 0))</f>
        <v>3</v>
      </c>
      <c r="BD44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17</v>
      </c>
      <c r="BE44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4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8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44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0</v>
      </c>
      <c r="BI44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8" s="405">
        <f>Таблица7[[#This Row],[Броня]]+Таблица7[[#This Row],[Щит]]+Таблица7[[#This Row],[навык защиты]]</f>
        <v>17</v>
      </c>
      <c r="BK448" s="1007"/>
      <c r="BL448" s="1007"/>
      <c r="BM448" s="401"/>
      <c r="BN448" s="100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48" s="401">
        <v>1</v>
      </c>
      <c r="BP448" s="399">
        <v>-2</v>
      </c>
      <c r="BQ448" s="399">
        <v>0</v>
      </c>
      <c r="BR448" s="399">
        <v>-4</v>
      </c>
      <c r="BS448" s="399">
        <v>-2</v>
      </c>
      <c r="BT448" s="401">
        <v>7</v>
      </c>
      <c r="BU448" s="1003" t="s">
        <v>1839</v>
      </c>
      <c r="BV448" s="1003" t="s">
        <v>1843</v>
      </c>
      <c r="BW448" s="401"/>
      <c r="BX448" s="401"/>
      <c r="BY448" s="401"/>
      <c r="BZ448" s="155"/>
    </row>
    <row r="449" spans="1:78" s="151" customFormat="1" ht="40.5" customHeight="1" x14ac:dyDescent="0.25">
      <c r="A449" s="333">
        <v>448</v>
      </c>
      <c r="B449" s="150" t="s">
        <v>1399</v>
      </c>
      <c r="C449" s="150"/>
      <c r="D449" s="150" t="s">
        <v>1555</v>
      </c>
      <c r="E449" s="152" t="s">
        <v>1547</v>
      </c>
      <c r="F449" s="152"/>
      <c r="G449" s="152"/>
      <c r="H449" s="152"/>
      <c r="I449" s="663">
        <v>0.75</v>
      </c>
      <c r="J449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449" s="631">
        <f>Таблица7[[#This Row],[Размер отряда минимум]]*1.25</f>
        <v>18.75</v>
      </c>
      <c r="L449" s="631">
        <f>Таблица7[[#This Row],[Размер отряда норма]]*1.5</f>
        <v>28.125</v>
      </c>
      <c r="M449" s="633">
        <f>Таблица7[[#This Row],[Размер отряда минимум]]*2.5</f>
        <v>37.5</v>
      </c>
      <c r="N449" s="633"/>
      <c r="O449" s="633"/>
      <c r="P449" s="633"/>
      <c r="Q449" s="633"/>
      <c r="R449" s="152" t="s">
        <v>1135</v>
      </c>
      <c r="S449" s="824" t="s">
        <v>2072</v>
      </c>
      <c r="T449" s="152" t="s">
        <v>975</v>
      </c>
      <c r="U449" s="908" t="s">
        <v>2633</v>
      </c>
      <c r="V449" s="153"/>
      <c r="W449" s="152" t="s">
        <v>1001</v>
      </c>
      <c r="X449" s="152" t="s">
        <v>1528</v>
      </c>
      <c r="Y449" s="152"/>
      <c r="Z449" s="152" t="s">
        <v>1510</v>
      </c>
      <c r="AA449" s="152"/>
      <c r="AB449" s="152"/>
      <c r="AC449" s="152"/>
      <c r="AD449" s="193" t="s">
        <v>1002</v>
      </c>
      <c r="AE449" s="193"/>
      <c r="AF449" s="152" t="s">
        <v>985</v>
      </c>
      <c r="AG449" s="152"/>
      <c r="AH449" s="152" t="s">
        <v>985</v>
      </c>
      <c r="AI449" s="152"/>
      <c r="AJ449" s="152" t="s">
        <v>1004</v>
      </c>
      <c r="AK449" s="152"/>
      <c r="AL449" s="210" t="s">
        <v>1163</v>
      </c>
      <c r="AM449" s="152" t="s">
        <v>1136</v>
      </c>
      <c r="AN449" s="152" t="s">
        <v>1136</v>
      </c>
      <c r="AO449" s="824" t="s">
        <v>2072</v>
      </c>
      <c r="AP449" s="152" t="s">
        <v>1141</v>
      </c>
      <c r="AQ449" s="152"/>
      <c r="AS449" s="151">
        <v>1500</v>
      </c>
      <c r="AT449" s="154">
        <v>1565</v>
      </c>
      <c r="AU449" s="405">
        <v>8</v>
      </c>
      <c r="AV449" s="405"/>
      <c r="AW449" s="405">
        <f>VLOOKUP(Таблица7[[#This Row],[Основное оружие]], Оружие[#All], 2, 0)</f>
        <v>2</v>
      </c>
      <c r="AX449" s="405">
        <f>IF(ISBLANK(Таблица7[[#This Row],[Дополнительное оружие]]),"", VLOOKUP(Таблица7[[#This Row],[Дополнительное оружие]], Оружие[#All], 2, 0))</f>
        <v>3</v>
      </c>
      <c r="AY44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4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44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49" s="405">
        <f>VLOOKUP(Таблица7[[#This Row],[Основное оружие]], Оружие[#All], 3, 0)</f>
        <v>6</v>
      </c>
      <c r="BC449" s="405">
        <f>IF(ISBLANK(Таблица7[[#This Row],[Дополнительное оружие]]),"", VLOOKUP(Таблица7[[#This Row],[Дополнительное оружие]], Оружие[#All], 3, 0))</f>
        <v>3</v>
      </c>
      <c r="BD44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4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4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49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4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4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49" s="405">
        <f>Таблица7[[#This Row],[Броня]]+Таблица7[[#This Row],[Щит]]+Таблица7[[#This Row],[навык защиты]]</f>
        <v>25</v>
      </c>
      <c r="BK449" s="1006"/>
      <c r="BL449" s="1006"/>
      <c r="BM449" s="400"/>
      <c r="BN449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49" s="400">
        <v>1</v>
      </c>
      <c r="BP449" s="399">
        <v>-2</v>
      </c>
      <c r="BQ449" s="399">
        <v>0</v>
      </c>
      <c r="BR449" s="399">
        <v>-4</v>
      </c>
      <c r="BS449" s="399">
        <v>-2</v>
      </c>
      <c r="BT449" s="400">
        <v>9</v>
      </c>
      <c r="BU449" s="1002" t="s">
        <v>1576</v>
      </c>
      <c r="BV449" s="1002" t="s">
        <v>1843</v>
      </c>
      <c r="BW449" s="400"/>
      <c r="BX449" s="400"/>
      <c r="BY449" s="400"/>
      <c r="BZ449" s="155"/>
    </row>
    <row r="450" spans="1:78" s="151" customFormat="1" ht="40.5" customHeight="1" x14ac:dyDescent="0.25">
      <c r="A450" s="333">
        <v>449</v>
      </c>
      <c r="B450" s="150" t="s">
        <v>1400</v>
      </c>
      <c r="C450" s="150"/>
      <c r="D450" s="152" t="s">
        <v>1556</v>
      </c>
      <c r="E450" s="150" t="s">
        <v>1571</v>
      </c>
      <c r="F450" s="150"/>
      <c r="G450" s="150"/>
      <c r="H450" s="150"/>
      <c r="I450" s="663">
        <v>1</v>
      </c>
      <c r="J450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450" s="631">
        <f>Таблица7[[#This Row],[Размер отряда минимум]]*1.25</f>
        <v>112.5</v>
      </c>
      <c r="L450" s="631">
        <f>Таблица7[[#This Row],[Размер отряда норма]]*1.5</f>
        <v>168.75</v>
      </c>
      <c r="M450" s="633">
        <f>Таблица7[[#This Row],[Размер отряда минимум]]*2.5</f>
        <v>225</v>
      </c>
      <c r="N450" s="633"/>
      <c r="O450" s="633"/>
      <c r="P450" s="633"/>
      <c r="Q450" s="633"/>
      <c r="R450" s="152" t="s">
        <v>1135</v>
      </c>
      <c r="S450" s="824" t="s">
        <v>2072</v>
      </c>
      <c r="T450" s="152" t="s">
        <v>975</v>
      </c>
      <c r="U450" s="908" t="s">
        <v>2635</v>
      </c>
      <c r="V450" s="153"/>
      <c r="W450" s="193" t="s">
        <v>1001</v>
      </c>
      <c r="X450" s="152" t="s">
        <v>1469</v>
      </c>
      <c r="Y450" s="152"/>
      <c r="Z450" s="152" t="s">
        <v>1036</v>
      </c>
      <c r="AA450" s="152"/>
      <c r="AB450" s="152"/>
      <c r="AC450" s="152"/>
      <c r="AD450" s="193" t="s">
        <v>1158</v>
      </c>
      <c r="AE450" s="193"/>
      <c r="AF450" s="152" t="s">
        <v>1211</v>
      </c>
      <c r="AG450" s="152"/>
      <c r="AH450" s="152" t="s">
        <v>985</v>
      </c>
      <c r="AI450" s="152"/>
      <c r="AJ450" s="193" t="s">
        <v>985</v>
      </c>
      <c r="AK450" s="193"/>
      <c r="AL450" s="210" t="s">
        <v>985</v>
      </c>
      <c r="AM450" s="152" t="s">
        <v>1136</v>
      </c>
      <c r="AN450" s="152" t="s">
        <v>1136</v>
      </c>
      <c r="AO450" s="824" t="s">
        <v>2072</v>
      </c>
      <c r="AP450" s="152" t="s">
        <v>1141</v>
      </c>
      <c r="AQ450" s="152"/>
      <c r="AS450" s="151">
        <v>1550</v>
      </c>
      <c r="AT450" s="154"/>
      <c r="AU450" s="405">
        <v>7</v>
      </c>
      <c r="AV450" s="405" t="s">
        <v>1828</v>
      </c>
      <c r="AW450" s="405">
        <f>VLOOKUP(Таблица7[[#This Row],[Основное оружие]], Оружие[#All], 2, 0)</f>
        <v>0</v>
      </c>
      <c r="AX450" s="405">
        <f>IF(ISBLANK(Таблица7[[#This Row],[Дополнительное оружие]]),"", VLOOKUP(Таблица7[[#This Row],[Дополнительное оружие]], Оружие[#All], 2, 0))</f>
        <v>5</v>
      </c>
      <c r="AY45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5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5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450" s="405">
        <f>VLOOKUP(Таблица7[[#This Row],[Основное оружие]], Оружие[#All], 3, 0)</f>
        <v>1</v>
      </c>
      <c r="BC450" s="405">
        <f>IF(ISBLANK(Таблица7[[#This Row],[Дополнительное оружие]]),"", VLOOKUP(Таблица7[[#This Row],[Дополнительное оружие]], Оружие[#All], 3, 0))</f>
        <v>3</v>
      </c>
      <c r="BD45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5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5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45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0" s="405">
        <f>Таблица7[[#This Row],[Броня]]+Таблица7[[#This Row],[Щит]]+Таблица7[[#This Row],[навык защиты]]</f>
        <v>20</v>
      </c>
      <c r="BK450" s="1006"/>
      <c r="BL450" s="1006"/>
      <c r="BM450" s="400"/>
      <c r="BN450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50" s="400">
        <v>1</v>
      </c>
      <c r="BP450" s="400">
        <v>1</v>
      </c>
      <c r="BQ450" s="400">
        <v>0</v>
      </c>
      <c r="BR450" s="400">
        <v>2</v>
      </c>
      <c r="BS450" s="400">
        <v>0</v>
      </c>
      <c r="BT450" s="400">
        <v>11</v>
      </c>
      <c r="BU450" s="1002" t="s">
        <v>1841</v>
      </c>
      <c r="BV450" s="1002" t="s">
        <v>1844</v>
      </c>
      <c r="BW450" s="400"/>
      <c r="BX450" s="400"/>
      <c r="BY450" s="400"/>
      <c r="BZ450" s="155"/>
    </row>
    <row r="451" spans="1:78" s="151" customFormat="1" ht="40.5" customHeight="1" x14ac:dyDescent="0.25">
      <c r="A451" s="333">
        <v>450</v>
      </c>
      <c r="B451" s="150" t="s">
        <v>1401</v>
      </c>
      <c r="C451" s="150"/>
      <c r="D451" s="152" t="s">
        <v>1556</v>
      </c>
      <c r="E451" s="150" t="s">
        <v>1570</v>
      </c>
      <c r="F451" s="150"/>
      <c r="G451" s="150"/>
      <c r="H451" s="150"/>
      <c r="I451" s="663">
        <v>1</v>
      </c>
      <c r="J451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451" s="631">
        <f>Таблица7[[#This Row],[Размер отряда минимум]]*1.25</f>
        <v>125</v>
      </c>
      <c r="L451" s="631">
        <f>Таблица7[[#This Row],[Размер отряда норма]]*1.5</f>
        <v>187.5</v>
      </c>
      <c r="M451" s="633">
        <f>Таблица7[[#This Row],[Размер отряда минимум]]*2.5</f>
        <v>250</v>
      </c>
      <c r="N451" s="633"/>
      <c r="O451" s="633"/>
      <c r="P451" s="633"/>
      <c r="Q451" s="633"/>
      <c r="R451" s="152" t="s">
        <v>1135</v>
      </c>
      <c r="S451" s="824" t="s">
        <v>2072</v>
      </c>
      <c r="T451" s="152" t="s">
        <v>976</v>
      </c>
      <c r="U451" s="908" t="s">
        <v>2615</v>
      </c>
      <c r="V451" s="153"/>
      <c r="W451" s="152" t="s">
        <v>1001</v>
      </c>
      <c r="X451" s="152" t="s">
        <v>1469</v>
      </c>
      <c r="Y451" s="152"/>
      <c r="Z451" s="152" t="s">
        <v>1440</v>
      </c>
      <c r="AA451" s="152"/>
      <c r="AB451" s="152"/>
      <c r="AC451" s="152"/>
      <c r="AD451" s="193" t="s">
        <v>985</v>
      </c>
      <c r="AE451" s="193"/>
      <c r="AF451" s="152" t="s">
        <v>991</v>
      </c>
      <c r="AG451" s="152"/>
      <c r="AH451" s="152" t="s">
        <v>985</v>
      </c>
      <c r="AI451" s="152"/>
      <c r="AJ451" s="193" t="s">
        <v>985</v>
      </c>
      <c r="AK451" s="193"/>
      <c r="AL451" s="210" t="s">
        <v>985</v>
      </c>
      <c r="AM451" s="152" t="s">
        <v>1136</v>
      </c>
      <c r="AN451" s="152" t="s">
        <v>1136</v>
      </c>
      <c r="AO451" s="824" t="s">
        <v>2072</v>
      </c>
      <c r="AP451" s="152" t="s">
        <v>1141</v>
      </c>
      <c r="AQ451" s="152"/>
      <c r="AS451" s="151">
        <v>1500</v>
      </c>
      <c r="AT451" s="154">
        <v>1550</v>
      </c>
      <c r="AU451" s="405">
        <v>3</v>
      </c>
      <c r="AV451" s="405" t="s">
        <v>1828</v>
      </c>
      <c r="AW451" s="405">
        <f>VLOOKUP(Таблица7[[#This Row],[Основное оружие]], Оружие[#All], 2, 0)</f>
        <v>0</v>
      </c>
      <c r="AX451" s="405">
        <f>IF(ISBLANK(Таблица7[[#This Row],[Дополнительное оружие]]),"", VLOOKUP(Таблица7[[#This Row],[Дополнительное оружие]], Оружие[#All], 2, 0))</f>
        <v>4</v>
      </c>
      <c r="AY45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5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5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51" s="405">
        <f>VLOOKUP(Таблица7[[#This Row],[Основное оружие]], Оружие[#All], 3, 0)</f>
        <v>1</v>
      </c>
      <c r="BC451" s="405">
        <f>IF(ISBLANK(Таблица7[[#This Row],[Дополнительное оружие]]),"", VLOOKUP(Таблица7[[#This Row],[Дополнительное оружие]], Оружие[#All], 3, 0))</f>
        <v>3</v>
      </c>
      <c r="BD45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5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5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5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1" s="405">
        <f>Таблица7[[#This Row],[Броня]]+Таблица7[[#This Row],[Щит]]+Таблица7[[#This Row],[навык защиты]]</f>
        <v>5</v>
      </c>
      <c r="BK451" s="1006"/>
      <c r="BL451" s="1006"/>
      <c r="BM451" s="400"/>
      <c r="BN451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51" s="400">
        <v>1</v>
      </c>
      <c r="BP451" s="400">
        <v>1</v>
      </c>
      <c r="BQ451" s="400">
        <v>0</v>
      </c>
      <c r="BR451" s="400">
        <v>2</v>
      </c>
      <c r="BS451" s="400">
        <v>0</v>
      </c>
      <c r="BT451" s="400">
        <v>5</v>
      </c>
      <c r="BU451" s="1002" t="s">
        <v>1576</v>
      </c>
      <c r="BV451" s="1002" t="s">
        <v>1843</v>
      </c>
      <c r="BW451" s="400"/>
      <c r="BX451" s="400"/>
      <c r="BY451" s="400"/>
      <c r="BZ451" s="155"/>
    </row>
    <row r="452" spans="1:78" s="151" customFormat="1" ht="40.5" customHeight="1" x14ac:dyDescent="0.25">
      <c r="A452" s="333">
        <v>451</v>
      </c>
      <c r="B452" s="150" t="s">
        <v>1402</v>
      </c>
      <c r="C452" s="150"/>
      <c r="D452" s="150" t="s">
        <v>1555</v>
      </c>
      <c r="E452" s="150" t="s">
        <v>1571</v>
      </c>
      <c r="F452" s="150"/>
      <c r="G452" s="150"/>
      <c r="H452" s="150"/>
      <c r="I452" s="663">
        <v>1</v>
      </c>
      <c r="J452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28</v>
      </c>
      <c r="K452" s="631">
        <f>Таблица7[[#This Row],[Размер отряда минимум]]*1.25</f>
        <v>35</v>
      </c>
      <c r="L452" s="631">
        <f>Таблица7[[#This Row],[Размер отряда норма]]*1.5</f>
        <v>52.5</v>
      </c>
      <c r="M452" s="633">
        <f>Таблица7[[#This Row],[Размер отряда минимум]]*2.5</f>
        <v>70</v>
      </c>
      <c r="N452" s="633"/>
      <c r="O452" s="633"/>
      <c r="P452" s="633"/>
      <c r="Q452" s="633"/>
      <c r="R452" s="152" t="s">
        <v>1135</v>
      </c>
      <c r="S452" s="824" t="s">
        <v>2072</v>
      </c>
      <c r="T452" s="152" t="s">
        <v>975</v>
      </c>
      <c r="U452" s="908" t="s">
        <v>2636</v>
      </c>
      <c r="V452" s="153"/>
      <c r="W452" s="193" t="s">
        <v>1001</v>
      </c>
      <c r="X452" s="152" t="s">
        <v>1469</v>
      </c>
      <c r="Y452" s="152"/>
      <c r="Z452" s="152" t="s">
        <v>1036</v>
      </c>
      <c r="AA452" s="152"/>
      <c r="AB452" s="152"/>
      <c r="AC452" s="152"/>
      <c r="AD452" s="193" t="s">
        <v>1158</v>
      </c>
      <c r="AE452" s="193"/>
      <c r="AF452" s="152" t="s">
        <v>1211</v>
      </c>
      <c r="AG452" s="152"/>
      <c r="AH452" s="152" t="s">
        <v>985</v>
      </c>
      <c r="AI452" s="152"/>
      <c r="AJ452" s="193" t="s">
        <v>985</v>
      </c>
      <c r="AK452" s="193"/>
      <c r="AL452" s="210" t="s">
        <v>985</v>
      </c>
      <c r="AM452" s="152" t="s">
        <v>1136</v>
      </c>
      <c r="AN452" s="152" t="s">
        <v>1136</v>
      </c>
      <c r="AO452" s="824" t="s">
        <v>2072</v>
      </c>
      <c r="AP452" s="152" t="s">
        <v>1141</v>
      </c>
      <c r="AQ452" s="152"/>
      <c r="AS452" s="151">
        <v>1520</v>
      </c>
      <c r="AT452" s="154">
        <v>1550</v>
      </c>
      <c r="AU452" s="405">
        <v>8</v>
      </c>
      <c r="AV452" s="405" t="s">
        <v>1828</v>
      </c>
      <c r="AW452" s="405">
        <f>VLOOKUP(Таблица7[[#This Row],[Основное оружие]], Оружие[#All], 2, 0)</f>
        <v>0</v>
      </c>
      <c r="AX452" s="405">
        <f>IF(ISBLANK(Таблица7[[#This Row],[Дополнительное оружие]]),"", VLOOKUP(Таблица7[[#This Row],[Дополнительное оружие]], Оружие[#All], 2, 0))</f>
        <v>5</v>
      </c>
      <c r="AY45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45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5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52" s="405">
        <f>VLOOKUP(Таблица7[[#This Row],[Основное оружие]], Оружие[#All], 3, 0)</f>
        <v>1</v>
      </c>
      <c r="BC452" s="405">
        <f>IF(ISBLANK(Таблица7[[#This Row],[Дополнительное оружие]]),"", VLOOKUP(Таблица7[[#This Row],[Дополнительное оружие]], Оружие[#All], 3, 0))</f>
        <v>3</v>
      </c>
      <c r="BD45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45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13</v>
      </c>
      <c r="BF45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5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2" s="405">
        <f>Таблица7[[#This Row],[Броня]]+Таблица7[[#This Row],[Щит]]+Таблица7[[#This Row],[навык защиты]]</f>
        <v>17</v>
      </c>
      <c r="BK452" s="1006"/>
      <c r="BL452" s="1006"/>
      <c r="BM452" s="400"/>
      <c r="BN452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52" s="400">
        <v>1</v>
      </c>
      <c r="BP452" s="399">
        <v>-2</v>
      </c>
      <c r="BQ452" s="399">
        <v>0</v>
      </c>
      <c r="BR452" s="399">
        <v>-4</v>
      </c>
      <c r="BS452" s="399">
        <v>-2</v>
      </c>
      <c r="BT452" s="400">
        <v>11</v>
      </c>
      <c r="BU452" s="1002" t="s">
        <v>1841</v>
      </c>
      <c r="BV452" s="1002" t="s">
        <v>1844</v>
      </c>
      <c r="BW452" s="400"/>
      <c r="BX452" s="400"/>
      <c r="BY452" s="400"/>
      <c r="BZ452" s="155"/>
    </row>
    <row r="453" spans="1:78" s="151" customFormat="1" ht="40.5" customHeight="1" x14ac:dyDescent="0.25">
      <c r="A453" s="333">
        <v>452</v>
      </c>
      <c r="B453" s="150" t="s">
        <v>1403</v>
      </c>
      <c r="C453" s="150"/>
      <c r="D453" s="150" t="s">
        <v>1555</v>
      </c>
      <c r="E453" s="150" t="s">
        <v>1570</v>
      </c>
      <c r="F453" s="150"/>
      <c r="G453" s="150"/>
      <c r="H453" s="150"/>
      <c r="I453" s="663">
        <v>1</v>
      </c>
      <c r="J453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453" s="631">
        <f>Таблица7[[#This Row],[Размер отряда минимум]]*1.25</f>
        <v>50</v>
      </c>
      <c r="L453" s="631">
        <f>Таблица7[[#This Row],[Размер отряда норма]]*1.5</f>
        <v>75</v>
      </c>
      <c r="M453" s="633">
        <f>Таблица7[[#This Row],[Размер отряда минимум]]*2.5</f>
        <v>100</v>
      </c>
      <c r="N453" s="633"/>
      <c r="O453" s="633"/>
      <c r="P453" s="633"/>
      <c r="Q453" s="633"/>
      <c r="R453" s="152" t="s">
        <v>1135</v>
      </c>
      <c r="S453" s="824" t="s">
        <v>2072</v>
      </c>
      <c r="T453" s="152" t="s">
        <v>976</v>
      </c>
      <c r="U453" s="908" t="s">
        <v>2636</v>
      </c>
      <c r="V453" s="153"/>
      <c r="W453" s="152" t="s">
        <v>984</v>
      </c>
      <c r="X453" s="152" t="s">
        <v>1469</v>
      </c>
      <c r="Y453" s="152"/>
      <c r="Z453" s="152" t="s">
        <v>1440</v>
      </c>
      <c r="AA453" s="152"/>
      <c r="AB453" s="152"/>
      <c r="AC453" s="152"/>
      <c r="AD453" s="193" t="s">
        <v>985</v>
      </c>
      <c r="AE453" s="193"/>
      <c r="AF453" s="152" t="s">
        <v>991</v>
      </c>
      <c r="AG453" s="152"/>
      <c r="AH453" s="152" t="s">
        <v>985</v>
      </c>
      <c r="AI453" s="152"/>
      <c r="AJ453" s="193" t="s">
        <v>985</v>
      </c>
      <c r="AK453" s="193"/>
      <c r="AL453" s="210" t="s">
        <v>985</v>
      </c>
      <c r="AM453" s="152" t="s">
        <v>1136</v>
      </c>
      <c r="AN453" s="152" t="s">
        <v>1136</v>
      </c>
      <c r="AO453" s="824" t="s">
        <v>2072</v>
      </c>
      <c r="AP453" s="152" t="s">
        <v>1141</v>
      </c>
      <c r="AQ453" s="152"/>
      <c r="AS453" s="151">
        <v>1550</v>
      </c>
      <c r="AT453" s="154"/>
      <c r="AU453" s="405">
        <v>3</v>
      </c>
      <c r="AV453" s="405" t="s">
        <v>1827</v>
      </c>
      <c r="AW453" s="405">
        <f>VLOOKUP(Таблица7[[#This Row],[Основное оружие]], Оружие[#All], 2, 0)</f>
        <v>0</v>
      </c>
      <c r="AX453" s="405">
        <f>IF(ISBLANK(Таблица7[[#This Row],[Дополнительное оружие]]),"", VLOOKUP(Таблица7[[#This Row],[Дополнительное оружие]], Оружие[#All], 2, 0))</f>
        <v>4</v>
      </c>
      <c r="AY45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5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5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53" s="405">
        <f>VLOOKUP(Таблица7[[#This Row],[Основное оружие]], Оружие[#All], 3, 0)</f>
        <v>1</v>
      </c>
      <c r="BC453" s="405">
        <f>IF(ISBLANK(Таблица7[[#This Row],[Дополнительное оружие]]),"", VLOOKUP(Таблица7[[#This Row],[Дополнительное оружие]], Оружие[#All], 3, 0))</f>
        <v>3</v>
      </c>
      <c r="BD45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5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0))+2</f>
        <v>2</v>
      </c>
      <c r="BF45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45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3" s="405">
        <f>Таблица7[[#This Row],[Броня]]+Таблица7[[#This Row],[Щит]]+Таблица7[[#This Row],[навык защиты]]</f>
        <v>3</v>
      </c>
      <c r="BK453" s="1008" t="s">
        <v>1589</v>
      </c>
      <c r="BL453" s="1008"/>
      <c r="BM453" s="400"/>
      <c r="BN453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53" s="400">
        <v>1</v>
      </c>
      <c r="BP453" s="399">
        <v>-2</v>
      </c>
      <c r="BQ453" s="399">
        <v>0</v>
      </c>
      <c r="BR453" s="399">
        <v>-4</v>
      </c>
      <c r="BS453" s="399">
        <v>-2</v>
      </c>
      <c r="BT453" s="400">
        <v>5</v>
      </c>
      <c r="BU453" s="1002" t="s">
        <v>1839</v>
      </c>
      <c r="BV453" s="1002" t="s">
        <v>1843</v>
      </c>
      <c r="BW453" s="400"/>
      <c r="BX453" s="400"/>
      <c r="BY453" s="400"/>
      <c r="BZ453" s="155"/>
    </row>
    <row r="454" spans="1:78" s="151" customFormat="1" ht="40.5" customHeight="1" x14ac:dyDescent="0.25">
      <c r="A454" s="333">
        <v>453</v>
      </c>
      <c r="B454" s="150" t="s">
        <v>1404</v>
      </c>
      <c r="C454" s="150"/>
      <c r="D454" s="152" t="s">
        <v>1556</v>
      </c>
      <c r="E454" s="150" t="s">
        <v>1570</v>
      </c>
      <c r="F454" s="150"/>
      <c r="G454" s="150"/>
      <c r="H454" s="150"/>
      <c r="I454" s="663">
        <v>1</v>
      </c>
      <c r="J454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454" s="631">
        <f>Таблица7[[#This Row],[Размер отряда минимум]]*1.25</f>
        <v>125</v>
      </c>
      <c r="L454" s="631">
        <f>Таблица7[[#This Row],[Размер отряда норма]]*1.5</f>
        <v>187.5</v>
      </c>
      <c r="M454" s="633">
        <f>Таблица7[[#This Row],[Размер отряда минимум]]*2.5</f>
        <v>250</v>
      </c>
      <c r="N454" s="633"/>
      <c r="O454" s="633"/>
      <c r="P454" s="633"/>
      <c r="Q454" s="633"/>
      <c r="R454" s="152" t="s">
        <v>1135</v>
      </c>
      <c r="S454" s="824" t="s">
        <v>2072</v>
      </c>
      <c r="T454" s="152" t="s">
        <v>976</v>
      </c>
      <c r="U454" s="908" t="s">
        <v>2637</v>
      </c>
      <c r="V454" s="153"/>
      <c r="W454" s="152" t="s">
        <v>1001</v>
      </c>
      <c r="X454" s="152" t="s">
        <v>1696</v>
      </c>
      <c r="Y454" s="152"/>
      <c r="Z454" s="152" t="s">
        <v>1440</v>
      </c>
      <c r="AA454" s="152"/>
      <c r="AB454" s="152"/>
      <c r="AC454" s="152"/>
      <c r="AD454" s="193" t="s">
        <v>985</v>
      </c>
      <c r="AE454" s="193"/>
      <c r="AF454" s="152" t="s">
        <v>991</v>
      </c>
      <c r="AG454" s="152"/>
      <c r="AH454" s="152" t="s">
        <v>985</v>
      </c>
      <c r="AI454" s="152"/>
      <c r="AJ454" s="193" t="s">
        <v>985</v>
      </c>
      <c r="AK454" s="193"/>
      <c r="AL454" s="210" t="s">
        <v>985</v>
      </c>
      <c r="AM454" s="152" t="s">
        <v>1136</v>
      </c>
      <c r="AN454" s="152" t="s">
        <v>1136</v>
      </c>
      <c r="AO454" s="824" t="s">
        <v>2072</v>
      </c>
      <c r="AP454" s="152" t="s">
        <v>1141</v>
      </c>
      <c r="AQ454" s="152"/>
      <c r="AS454" s="151">
        <v>1570</v>
      </c>
      <c r="AT454" s="154"/>
      <c r="AU454" s="405">
        <v>3</v>
      </c>
      <c r="AV454" s="405" t="s">
        <v>1827</v>
      </c>
      <c r="AW454" s="405">
        <f>VLOOKUP(Таблица7[[#This Row],[Основное оружие]], Оружие[#All], 2, 0)</f>
        <v>0</v>
      </c>
      <c r="AX454" s="405">
        <f>IF(ISBLANK(Таблица7[[#This Row],[Дополнительное оружие]]),"", VLOOKUP(Таблица7[[#This Row],[Дополнительное оружие]], Оружие[#All], 2, 0))</f>
        <v>4</v>
      </c>
      <c r="AY45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5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5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54" s="405">
        <f>VLOOKUP(Таблица7[[#This Row],[Основное оружие]], Оружие[#All], 3, 0)</f>
        <v>1</v>
      </c>
      <c r="BC454" s="405">
        <f>IF(ISBLANK(Таблица7[[#This Row],[Дополнительное оружие]]),"", VLOOKUP(Таблица7[[#This Row],[Дополнительное оружие]], Оружие[#All], 3, 0))</f>
        <v>3</v>
      </c>
      <c r="BD45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5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5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5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4" s="405">
        <f>Таблица7[[#This Row],[Броня]]+Таблица7[[#This Row],[Щит]]+Таблица7[[#This Row],[навык защиты]]</f>
        <v>5</v>
      </c>
      <c r="BK454" s="1006"/>
      <c r="BL454" s="1006"/>
      <c r="BM454" s="400"/>
      <c r="BN454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54" s="400">
        <v>1</v>
      </c>
      <c r="BP454" s="400">
        <v>1</v>
      </c>
      <c r="BQ454" s="400">
        <v>0</v>
      </c>
      <c r="BR454" s="400">
        <v>2</v>
      </c>
      <c r="BS454" s="400">
        <v>0</v>
      </c>
      <c r="BT454" s="400">
        <v>5</v>
      </c>
      <c r="BU454" s="1002" t="s">
        <v>1576</v>
      </c>
      <c r="BV454" s="1002" t="s">
        <v>1843</v>
      </c>
      <c r="BW454" s="400"/>
      <c r="BX454" s="400"/>
      <c r="BY454" s="400"/>
      <c r="BZ454" s="155"/>
    </row>
    <row r="455" spans="1:78" s="151" customFormat="1" ht="40.5" customHeight="1" x14ac:dyDescent="0.25">
      <c r="A455" s="333">
        <v>454</v>
      </c>
      <c r="B455" s="150" t="s">
        <v>1405</v>
      </c>
      <c r="C455" s="150"/>
      <c r="D455" s="152" t="s">
        <v>1556</v>
      </c>
      <c r="E455" s="152" t="s">
        <v>1448</v>
      </c>
      <c r="F455" s="152"/>
      <c r="G455" s="152"/>
      <c r="H455" s="152"/>
      <c r="I455" s="663">
        <v>0.5</v>
      </c>
      <c r="J455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45</v>
      </c>
      <c r="K455" s="631">
        <f>Таблица7[[#This Row],[Размер отряда минимум]]*1.25</f>
        <v>56.25</v>
      </c>
      <c r="L455" s="631">
        <f>Таблица7[[#This Row],[Размер отряда норма]]*1.5</f>
        <v>84.375</v>
      </c>
      <c r="M455" s="633">
        <f>Таблица7[[#This Row],[Размер отряда минимум]]*2.5</f>
        <v>112.5</v>
      </c>
      <c r="N455" s="633"/>
      <c r="O455" s="633"/>
      <c r="P455" s="633"/>
      <c r="Q455" s="633"/>
      <c r="R455" s="152" t="s">
        <v>1135</v>
      </c>
      <c r="S455" s="824" t="s">
        <v>2072</v>
      </c>
      <c r="T455" s="152" t="s">
        <v>975</v>
      </c>
      <c r="U455" s="908" t="s">
        <v>2638</v>
      </c>
      <c r="V455" s="249"/>
      <c r="W455" s="250" t="s">
        <v>993</v>
      </c>
      <c r="X455" s="250" t="s">
        <v>1194</v>
      </c>
      <c r="Y455" s="250"/>
      <c r="Z455" s="250"/>
      <c r="AA455" s="250"/>
      <c r="AB455" s="250"/>
      <c r="AC455" s="250"/>
      <c r="AD455" s="257" t="s">
        <v>1158</v>
      </c>
      <c r="AE455" s="257"/>
      <c r="AF455" s="250" t="s">
        <v>1211</v>
      </c>
      <c r="AG455" s="250"/>
      <c r="AH455" s="250" t="s">
        <v>985</v>
      </c>
      <c r="AI455" s="250"/>
      <c r="AJ455" s="257" t="s">
        <v>985</v>
      </c>
      <c r="AK455" s="257"/>
      <c r="AL455" s="258" t="s">
        <v>985</v>
      </c>
      <c r="AM455" s="152" t="s">
        <v>1136</v>
      </c>
      <c r="AN455" s="152" t="s">
        <v>1136</v>
      </c>
      <c r="AO455" s="824" t="s">
        <v>2072</v>
      </c>
      <c r="AP455" s="152" t="s">
        <v>1141</v>
      </c>
      <c r="AQ455" s="152"/>
      <c r="AS455" s="151">
        <v>1500</v>
      </c>
      <c r="AT455" s="154">
        <v>1550</v>
      </c>
      <c r="AU455" s="405">
        <v>4</v>
      </c>
      <c r="AV455" s="405"/>
      <c r="AW455" s="405">
        <f>VLOOKUP(Таблица7[[#This Row],[Основное оружие]], Оружие[#All], 2, 0)</f>
        <v>6</v>
      </c>
      <c r="AX455" s="405" t="str">
        <f>IF(ISBLANK(Таблица7[[#This Row],[Дополнительное оружие]]),"", VLOOKUP(Таблица7[[#This Row],[Дополнительное оружие]], Оружие[#All], 2, 0))</f>
        <v/>
      </c>
      <c r="AY45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5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45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55" s="405">
        <f>VLOOKUP(Таблица7[[#This Row],[Основное оружие]], Оружие[#All], 3, 0)</f>
        <v>3</v>
      </c>
      <c r="BC455" s="405" t="str">
        <f>IF(ISBLANK(Таблица7[[#This Row],[Дополнительное оружие]]),"", VLOOKUP(Таблица7[[#This Row],[Дополнительное оружие]], Оружие[#All], 3, 0))</f>
        <v/>
      </c>
      <c r="BD45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5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5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5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5" s="405">
        <f>Таблица7[[#This Row],[Броня]]+Таблица7[[#This Row],[Щит]]+Таблица7[[#This Row],[навык защиты]]</f>
        <v>17</v>
      </c>
      <c r="BK455" s="1006"/>
      <c r="BL455" s="1006"/>
      <c r="BM455" s="400"/>
      <c r="BN455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55" s="400">
        <v>1</v>
      </c>
      <c r="BP455" s="400">
        <v>0</v>
      </c>
      <c r="BQ455" s="400">
        <v>0</v>
      </c>
      <c r="BR455" s="400">
        <v>-1</v>
      </c>
      <c r="BS455" s="400">
        <v>0</v>
      </c>
      <c r="BT455" s="400">
        <v>5</v>
      </c>
      <c r="BU455" s="1002" t="s">
        <v>1576</v>
      </c>
      <c r="BV455" s="1002" t="s">
        <v>1843</v>
      </c>
      <c r="BW455" s="400"/>
      <c r="BX455" s="400"/>
      <c r="BY455" s="400"/>
      <c r="BZ455" s="155"/>
    </row>
    <row r="456" spans="1:78" s="151" customFormat="1" ht="40.5" customHeight="1" x14ac:dyDescent="0.25">
      <c r="A456" s="333">
        <v>455</v>
      </c>
      <c r="B456" s="150" t="s">
        <v>1406</v>
      </c>
      <c r="C456" s="150"/>
      <c r="D456" s="152" t="s">
        <v>1556</v>
      </c>
      <c r="E456" s="152" t="s">
        <v>1546</v>
      </c>
      <c r="F456" s="152"/>
      <c r="G456" s="152"/>
      <c r="H456" s="152"/>
      <c r="I456" s="663">
        <v>1</v>
      </c>
      <c r="J456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456" s="631">
        <f>Таблица7[[#This Row],[Размер отряда минимум]]*1.25</f>
        <v>125</v>
      </c>
      <c r="L456" s="631">
        <f>Таблица7[[#This Row],[Размер отряда норма]]*1.5</f>
        <v>187.5</v>
      </c>
      <c r="M456" s="633">
        <f>Таблица7[[#This Row],[Размер отряда минимум]]*2.5</f>
        <v>250</v>
      </c>
      <c r="N456" s="633"/>
      <c r="O456" s="633"/>
      <c r="P456" s="633"/>
      <c r="Q456" s="633"/>
      <c r="R456" s="152" t="s">
        <v>1135</v>
      </c>
      <c r="S456" s="824" t="s">
        <v>2072</v>
      </c>
      <c r="T456" s="152" t="s">
        <v>1032</v>
      </c>
      <c r="U456" s="908" t="s">
        <v>2639</v>
      </c>
      <c r="V456" s="446"/>
      <c r="W456" s="152" t="s">
        <v>984</v>
      </c>
      <c r="X456" s="152" t="s">
        <v>1143</v>
      </c>
      <c r="Y456" s="152"/>
      <c r="Z456" s="152"/>
      <c r="AA456" s="152"/>
      <c r="AB456" s="152"/>
      <c r="AC456" s="152"/>
      <c r="AD456" s="193" t="s">
        <v>985</v>
      </c>
      <c r="AE456" s="193"/>
      <c r="AF456" s="152" t="s">
        <v>985</v>
      </c>
      <c r="AG456" s="152"/>
      <c r="AH456" s="152" t="s">
        <v>985</v>
      </c>
      <c r="AI456" s="152"/>
      <c r="AJ456" s="193" t="s">
        <v>985</v>
      </c>
      <c r="AK456" s="193"/>
      <c r="AL456" s="210" t="s">
        <v>985</v>
      </c>
      <c r="AM456" s="152" t="s">
        <v>1136</v>
      </c>
      <c r="AN456" s="152" t="s">
        <v>1136</v>
      </c>
      <c r="AO456" s="824" t="s">
        <v>2072</v>
      </c>
      <c r="AP456" s="437" t="s">
        <v>1533</v>
      </c>
      <c r="AQ456" s="437"/>
      <c r="AS456" s="151">
        <v>1500</v>
      </c>
      <c r="AT456" s="154"/>
      <c r="AU456" s="405">
        <v>4</v>
      </c>
      <c r="AV456" s="405"/>
      <c r="AW456" s="405">
        <f>VLOOKUP(Таблица7[[#This Row],[Основное оружие]], Оружие[#All], 2, 0)</f>
        <v>3</v>
      </c>
      <c r="AX456" s="405" t="str">
        <f>IF(ISBLANK(Таблица7[[#This Row],[Дополнительное оружие]]),"", VLOOKUP(Таблица7[[#This Row],[Дополнительное оружие]], Оружие[#All], 2, 0))</f>
        <v/>
      </c>
      <c r="AY45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5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45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56" s="405">
        <f>VLOOKUP(Таблица7[[#This Row],[Основное оружие]], Оружие[#All], 3, 0)</f>
        <v>3</v>
      </c>
      <c r="BC456" s="405" t="str">
        <f>IF(ISBLANK(Таблица7[[#This Row],[Дополнительное оружие]]),"", VLOOKUP(Таблица7[[#This Row],[Дополнительное оружие]], Оружие[#All], 3, 0))</f>
        <v/>
      </c>
      <c r="BD45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5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5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5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6" s="405">
        <f>Таблица7[[#This Row],[Броня]]+Таблица7[[#This Row],[Щит]]+Таблица7[[#This Row],[навык защиты]]</f>
        <v>6</v>
      </c>
      <c r="BK456" s="1006"/>
      <c r="BL456" s="1006"/>
      <c r="BM456" s="400"/>
      <c r="BN456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56" s="400">
        <v>1</v>
      </c>
      <c r="BP456" s="400">
        <v>1</v>
      </c>
      <c r="BQ456" s="400">
        <v>0</v>
      </c>
      <c r="BR456" s="400">
        <v>2</v>
      </c>
      <c r="BS456" s="400">
        <v>0</v>
      </c>
      <c r="BT456" s="400">
        <v>7</v>
      </c>
      <c r="BU456" s="1002" t="s">
        <v>1839</v>
      </c>
      <c r="BV456" s="1002" t="s">
        <v>1842</v>
      </c>
      <c r="BW456" s="400"/>
      <c r="BX456" s="400"/>
      <c r="BY456" s="400"/>
      <c r="BZ456" s="155"/>
    </row>
    <row r="457" spans="1:78" s="151" customFormat="1" ht="40.5" customHeight="1" x14ac:dyDescent="0.25">
      <c r="A457" s="333">
        <v>456</v>
      </c>
      <c r="B457" s="150" t="s">
        <v>1407</v>
      </c>
      <c r="C457" s="150"/>
      <c r="D457" s="150" t="s">
        <v>1555</v>
      </c>
      <c r="E457" s="152" t="s">
        <v>1546</v>
      </c>
      <c r="F457" s="152"/>
      <c r="G457" s="152"/>
      <c r="H457" s="152"/>
      <c r="I457" s="663">
        <v>0.8</v>
      </c>
      <c r="J457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32</v>
      </c>
      <c r="K457" s="631">
        <f>Таблица7[[#This Row],[Размер отряда минимум]]*1.25</f>
        <v>40</v>
      </c>
      <c r="L457" s="631">
        <f>Таблица7[[#This Row],[Размер отряда норма]]*1.5</f>
        <v>60</v>
      </c>
      <c r="M457" s="633">
        <f>Таблица7[[#This Row],[Размер отряда минимум]]*2.5</f>
        <v>80</v>
      </c>
      <c r="N457" s="633"/>
      <c r="O457" s="633"/>
      <c r="P457" s="633"/>
      <c r="Q457" s="633"/>
      <c r="R457" s="152" t="s">
        <v>1135</v>
      </c>
      <c r="S457" s="824" t="s">
        <v>2072</v>
      </c>
      <c r="T457" s="152" t="s">
        <v>1032</v>
      </c>
      <c r="U457" s="908" t="s">
        <v>2640</v>
      </c>
      <c r="V457" s="153"/>
      <c r="W457" s="152" t="s">
        <v>984</v>
      </c>
      <c r="X457" s="152" t="s">
        <v>1528</v>
      </c>
      <c r="Y457" s="152"/>
      <c r="Z457" s="437" t="s">
        <v>1143</v>
      </c>
      <c r="AA457" s="437"/>
      <c r="AB457" s="350" t="s">
        <v>1475</v>
      </c>
      <c r="AC457" s="350"/>
      <c r="AD457" s="193" t="s">
        <v>985</v>
      </c>
      <c r="AE457" s="193"/>
      <c r="AF457" s="152" t="s">
        <v>985</v>
      </c>
      <c r="AG457" s="152"/>
      <c r="AH457" s="152" t="s">
        <v>985</v>
      </c>
      <c r="AI457" s="152"/>
      <c r="AJ457" s="193" t="s">
        <v>985</v>
      </c>
      <c r="AK457" s="193"/>
      <c r="AL457" s="210" t="s">
        <v>985</v>
      </c>
      <c r="AM457" s="152" t="s">
        <v>1136</v>
      </c>
      <c r="AN457" s="152" t="s">
        <v>1136</v>
      </c>
      <c r="AO457" s="824" t="s">
        <v>2072</v>
      </c>
      <c r="AP457" s="152" t="s">
        <v>1144</v>
      </c>
      <c r="AQ457" s="152"/>
      <c r="AS457" s="151">
        <v>1500</v>
      </c>
      <c r="AT457" s="154"/>
      <c r="AU457" s="405">
        <v>9</v>
      </c>
      <c r="AV457" s="405"/>
      <c r="AW457" s="405">
        <f>VLOOKUP(Таблица7[[#This Row],[Основное оружие]], Оружие[#All], 2, 0)</f>
        <v>2</v>
      </c>
      <c r="AX457" s="405">
        <f>IF(ISBLANK(Таблица7[[#This Row],[Дополнительное оружие]]),"", VLOOKUP(Таблица7[[#This Row],[Дополнительное оружие]], Оружие[#All], 2, 0))</f>
        <v>3</v>
      </c>
      <c r="AY45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11</v>
      </c>
      <c r="AZ45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45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14</v>
      </c>
      <c r="BB457" s="405">
        <f>VLOOKUP(Таблица7[[#This Row],[Основное оружие]], Оружие[#All], 3, 0)</f>
        <v>6</v>
      </c>
      <c r="BC457" s="405">
        <f>IF(ISBLANK(Таблица7[[#This Row],[Дополнительное оружие]]),"", VLOOKUP(Таблица7[[#This Row],[Дополнительное оружие]], Оружие[#All], 3, 0))</f>
        <v>3</v>
      </c>
      <c r="BD45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5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5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8</v>
      </c>
      <c r="BI45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457" s="405">
        <f>Таблица7[[#This Row],[Броня]]+Таблица7[[#This Row],[Щит]]+Таблица7[[#This Row],[навык защиты]]</f>
        <v>12</v>
      </c>
      <c r="BK457" s="1006"/>
      <c r="BL457" s="1006"/>
      <c r="BM457" s="400"/>
      <c r="BN457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57" s="400">
        <v>1</v>
      </c>
      <c r="BP457" s="399">
        <v>-2</v>
      </c>
      <c r="BQ457" s="399">
        <v>0</v>
      </c>
      <c r="BR457" s="399">
        <v>-4</v>
      </c>
      <c r="BS457" s="399">
        <v>-2</v>
      </c>
      <c r="BT457" s="400">
        <v>11</v>
      </c>
      <c r="BU457" s="1002" t="s">
        <v>1841</v>
      </c>
      <c r="BV457" s="1002" t="s">
        <v>1843</v>
      </c>
      <c r="BW457" s="400"/>
      <c r="BX457" s="400"/>
      <c r="BY457" s="400"/>
      <c r="BZ457" s="155"/>
    </row>
    <row r="458" spans="1:78" s="151" customFormat="1" ht="40.5" customHeight="1" x14ac:dyDescent="0.25">
      <c r="A458" s="333">
        <v>457</v>
      </c>
      <c r="B458" s="150" t="s">
        <v>1408</v>
      </c>
      <c r="C458" s="150"/>
      <c r="D458" s="150" t="s">
        <v>1555</v>
      </c>
      <c r="E458" s="150" t="s">
        <v>1570</v>
      </c>
      <c r="F458" s="150"/>
      <c r="G458" s="150"/>
      <c r="H458" s="150"/>
      <c r="I458" s="663">
        <v>1</v>
      </c>
      <c r="J458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458" s="631">
        <f>Таблица7[[#This Row],[Размер отряда минимум]]*1.25</f>
        <v>50</v>
      </c>
      <c r="L458" s="631">
        <f>Таблица7[[#This Row],[Размер отряда норма]]*1.5</f>
        <v>75</v>
      </c>
      <c r="M458" s="633">
        <f>Таблица7[[#This Row],[Размер отряда минимум]]*2.5</f>
        <v>100</v>
      </c>
      <c r="N458" s="633"/>
      <c r="O458" s="633"/>
      <c r="P458" s="633"/>
      <c r="Q458" s="633"/>
      <c r="R458" s="152" t="s">
        <v>1135</v>
      </c>
      <c r="S458" s="824" t="s">
        <v>2072</v>
      </c>
      <c r="T458" s="152" t="s">
        <v>1032</v>
      </c>
      <c r="U458" s="908" t="s">
        <v>2641</v>
      </c>
      <c r="V458" s="263"/>
      <c r="W458" s="152" t="s">
        <v>984</v>
      </c>
      <c r="X458" s="152" t="s">
        <v>1474</v>
      </c>
      <c r="Y458" s="152"/>
      <c r="Z458" s="152" t="s">
        <v>1020</v>
      </c>
      <c r="AA458" s="152"/>
      <c r="AB458" s="152"/>
      <c r="AC458" s="152"/>
      <c r="AD458" s="193" t="s">
        <v>985</v>
      </c>
      <c r="AE458" s="193"/>
      <c r="AF458" s="152" t="s">
        <v>985</v>
      </c>
      <c r="AG458" s="152"/>
      <c r="AH458" s="152" t="s">
        <v>985</v>
      </c>
      <c r="AI458" s="152"/>
      <c r="AJ458" s="193" t="s">
        <v>985</v>
      </c>
      <c r="AK458" s="193"/>
      <c r="AL458" s="210" t="s">
        <v>985</v>
      </c>
      <c r="AM458" s="152" t="s">
        <v>1136</v>
      </c>
      <c r="AN458" s="152" t="s">
        <v>1136</v>
      </c>
      <c r="AO458" s="824" t="s">
        <v>2072</v>
      </c>
      <c r="AP458" s="152" t="s">
        <v>1144</v>
      </c>
      <c r="AQ458" s="152"/>
      <c r="AS458" s="151">
        <v>1500</v>
      </c>
      <c r="AT458" s="154"/>
      <c r="AU458" s="405">
        <v>1</v>
      </c>
      <c r="AV458" s="405" t="s">
        <v>1826</v>
      </c>
      <c r="AW458" s="405">
        <f>VLOOKUP(Таблица7[[#This Row],[Основное оружие]], Оружие[#All], 2, 0)</f>
        <v>0</v>
      </c>
      <c r="AX458" s="405">
        <f>IF(ISBLANK(Таблица7[[#This Row],[Дополнительное оружие]]),"", VLOOKUP(Таблица7[[#This Row],[Дополнительное оружие]], Оружие[#All], 2, 0))</f>
        <v>2</v>
      </c>
      <c r="AY45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45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5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5</v>
      </c>
      <c r="BB458" s="405">
        <f>VLOOKUP(Таблица7[[#This Row],[Основное оружие]], Оружие[#All], 3, 0)</f>
        <v>1</v>
      </c>
      <c r="BC458" s="405">
        <f>IF(ISBLANK(Таблица7[[#This Row],[Дополнительное оружие]]),"", VLOOKUP(Таблица7[[#This Row],[Дополнительное оружие]], Оружие[#All], 3, 0))</f>
        <v>3</v>
      </c>
      <c r="BD45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5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5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5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0</v>
      </c>
      <c r="BI45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8" s="405">
        <f>Таблица7[[#This Row],[Броня]]+Таблица7[[#This Row],[Щит]]+Таблица7[[#This Row],[навык защиты]]</f>
        <v>1</v>
      </c>
      <c r="BK458" s="1008" t="s">
        <v>1582</v>
      </c>
      <c r="BL458" s="1008"/>
      <c r="BM458" s="400"/>
      <c r="BN458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58" s="400">
        <v>1</v>
      </c>
      <c r="BP458" s="399">
        <v>-2</v>
      </c>
      <c r="BQ458" s="399">
        <v>0</v>
      </c>
      <c r="BR458" s="399">
        <v>-4</v>
      </c>
      <c r="BS458" s="399">
        <v>-2</v>
      </c>
      <c r="BT458" s="400">
        <v>2</v>
      </c>
      <c r="BU458" s="1002" t="s">
        <v>1839</v>
      </c>
      <c r="BV458" s="1002" t="s">
        <v>1842</v>
      </c>
      <c r="BW458" s="400"/>
      <c r="BX458" s="400"/>
      <c r="BY458" s="400"/>
      <c r="BZ458" s="155"/>
    </row>
    <row r="459" spans="1:78" s="151" customFormat="1" ht="40.5" customHeight="1" x14ac:dyDescent="0.25">
      <c r="A459" s="333">
        <v>458</v>
      </c>
      <c r="B459" s="150" t="s">
        <v>1409</v>
      </c>
      <c r="C459" s="150" t="s">
        <v>2416</v>
      </c>
      <c r="D459" s="150" t="s">
        <v>1555</v>
      </c>
      <c r="E459" s="152" t="s">
        <v>1448</v>
      </c>
      <c r="F459" s="152"/>
      <c r="G459" s="152"/>
      <c r="H459" s="152"/>
      <c r="I459" s="663">
        <v>0.75</v>
      </c>
      <c r="J459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459" s="631">
        <f>Таблица7[[#This Row],[Размер отряда минимум]]*1.25</f>
        <v>30</v>
      </c>
      <c r="L459" s="631">
        <f>Таблица7[[#This Row],[Размер отряда норма]]*1.5</f>
        <v>45</v>
      </c>
      <c r="M459" s="633">
        <f>Таблица7[[#This Row],[Размер отряда минимум]]*2.5</f>
        <v>60</v>
      </c>
      <c r="N459" s="633"/>
      <c r="O459" s="633"/>
      <c r="P459" s="633"/>
      <c r="Q459" s="633"/>
      <c r="R459" s="152" t="s">
        <v>1135</v>
      </c>
      <c r="S459" s="824" t="s">
        <v>2072</v>
      </c>
      <c r="T459" s="225" t="s">
        <v>1032</v>
      </c>
      <c r="U459" s="878" t="s">
        <v>2417</v>
      </c>
      <c r="V459" s="910" t="s">
        <v>2605</v>
      </c>
      <c r="W459" s="225" t="s">
        <v>1001</v>
      </c>
      <c r="X459" s="152" t="s">
        <v>1528</v>
      </c>
      <c r="Y459" s="879" t="s">
        <v>2023</v>
      </c>
      <c r="Z459" s="225" t="s">
        <v>1143</v>
      </c>
      <c r="AA459" s="879" t="s">
        <v>2410</v>
      </c>
      <c r="AB459" s="225"/>
      <c r="AC459" s="225"/>
      <c r="AD459" s="806" t="s">
        <v>1202</v>
      </c>
      <c r="AE459" s="878" t="s">
        <v>1980</v>
      </c>
      <c r="AF459" s="225" t="s">
        <v>1478</v>
      </c>
      <c r="AG459" s="879" t="s">
        <v>1981</v>
      </c>
      <c r="AH459" s="152" t="s">
        <v>1477</v>
      </c>
      <c r="AI459" s="152" t="s">
        <v>2323</v>
      </c>
      <c r="AJ459" s="193" t="s">
        <v>985</v>
      </c>
      <c r="AK459" s="193"/>
      <c r="AL459" s="210" t="s">
        <v>985</v>
      </c>
      <c r="AM459" s="152" t="s">
        <v>1136</v>
      </c>
      <c r="AN459" s="152" t="s">
        <v>1136</v>
      </c>
      <c r="AO459" s="824" t="s">
        <v>2072</v>
      </c>
      <c r="AP459" s="225" t="s">
        <v>1175</v>
      </c>
      <c r="AQ459" s="879" t="s">
        <v>2418</v>
      </c>
      <c r="AS459" s="151">
        <v>1500</v>
      </c>
      <c r="AT459" s="154"/>
      <c r="AU459" s="405">
        <v>7</v>
      </c>
      <c r="AV459" s="405"/>
      <c r="AW459" s="405">
        <f>VLOOKUP(Таблица7[[#This Row],[Основное оружие]], Оружие[#All], 2, 0)</f>
        <v>2</v>
      </c>
      <c r="AX459" s="405">
        <f>IF(ISBLANK(Таблица7[[#This Row],[Дополнительное оружие]]),"", VLOOKUP(Таблица7[[#This Row],[Дополнительное оружие]], Оружие[#All], 2, 0))</f>
        <v>3</v>
      </c>
      <c r="AY45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5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459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59" s="405">
        <f>VLOOKUP(Таблица7[[#This Row],[Основное оружие]], Оружие[#All], 3, 0)</f>
        <v>6</v>
      </c>
      <c r="BC459" s="405">
        <f>IF(ISBLANK(Таблица7[[#This Row],[Дополнительное оружие]]),"", VLOOKUP(Таблица7[[#This Row],[Дополнительное оружие]], Оружие[#All], 3, 0))</f>
        <v>3</v>
      </c>
      <c r="BD45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8</v>
      </c>
      <c r="BE45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9</v>
      </c>
      <c r="BF459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45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5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5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59" s="405">
        <f>Таблица7[[#This Row],[Броня]]+Таблица7[[#This Row],[Щит]]+Таблица7[[#This Row],[навык защиты]]</f>
        <v>13</v>
      </c>
      <c r="BK459" s="1006"/>
      <c r="BL459" s="1006"/>
      <c r="BM459" s="400"/>
      <c r="BN459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59" s="400">
        <v>0</v>
      </c>
      <c r="BP459" s="399">
        <v>-2</v>
      </c>
      <c r="BQ459" s="399">
        <v>0</v>
      </c>
      <c r="BR459" s="399">
        <v>-4</v>
      </c>
      <c r="BS459" s="399">
        <v>-2</v>
      </c>
      <c r="BT459" s="400">
        <v>9</v>
      </c>
      <c r="BU459" s="1002" t="s">
        <v>1576</v>
      </c>
      <c r="BV459" s="1002" t="s">
        <v>1843</v>
      </c>
      <c r="BW459" s="400"/>
      <c r="BX459" s="400"/>
      <c r="BY459" s="400"/>
      <c r="BZ459" s="155"/>
    </row>
    <row r="460" spans="1:78" s="151" customFormat="1" ht="40.5" customHeight="1" x14ac:dyDescent="0.25">
      <c r="A460" s="333">
        <v>459</v>
      </c>
      <c r="B460" s="150" t="s">
        <v>2419</v>
      </c>
      <c r="C460" s="150" t="s">
        <v>2420</v>
      </c>
      <c r="D460" s="152" t="s">
        <v>1556</v>
      </c>
      <c r="E460" s="152" t="s">
        <v>1546</v>
      </c>
      <c r="F460" s="152"/>
      <c r="G460" s="152"/>
      <c r="H460" s="152"/>
      <c r="I460" s="663">
        <v>1</v>
      </c>
      <c r="J460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460" s="631">
        <f>Таблица7[[#This Row],[Размер отряда минимум]]*1.25</f>
        <v>125</v>
      </c>
      <c r="L460" s="631">
        <f>Таблица7[[#This Row],[Размер отряда норма]]*1.5</f>
        <v>187.5</v>
      </c>
      <c r="M460" s="633">
        <f>Таблица7[[#This Row],[Размер отряда минимум]]*2.5</f>
        <v>250</v>
      </c>
      <c r="N460" s="633"/>
      <c r="O460" s="633"/>
      <c r="P460" s="633"/>
      <c r="Q460" s="633"/>
      <c r="R460" s="152" t="s">
        <v>1135</v>
      </c>
      <c r="S460" s="824" t="s">
        <v>2072</v>
      </c>
      <c r="T460" s="225" t="s">
        <v>1032</v>
      </c>
      <c r="U460" s="908" t="s">
        <v>2642</v>
      </c>
      <c r="V460" s="910" t="s">
        <v>2606</v>
      </c>
      <c r="W460" s="257" t="s">
        <v>1001</v>
      </c>
      <c r="X460" s="350" t="s">
        <v>1143</v>
      </c>
      <c r="Y460" s="879" t="s">
        <v>2410</v>
      </c>
      <c r="Z460" s="350"/>
      <c r="AA460" s="350"/>
      <c r="AB460" s="350" t="s">
        <v>944</v>
      </c>
      <c r="AC460" s="879" t="s">
        <v>1923</v>
      </c>
      <c r="AD460" s="758" t="s">
        <v>985</v>
      </c>
      <c r="AE460" s="758"/>
      <c r="AF460" s="310" t="s">
        <v>991</v>
      </c>
      <c r="AG460" s="879" t="s">
        <v>1951</v>
      </c>
      <c r="AH460" s="152" t="s">
        <v>985</v>
      </c>
      <c r="AI460" s="152"/>
      <c r="AJ460" s="193" t="s">
        <v>985</v>
      </c>
      <c r="AK460" s="193"/>
      <c r="AL460" s="210" t="s">
        <v>985</v>
      </c>
      <c r="AM460" s="152" t="s">
        <v>1136</v>
      </c>
      <c r="AN460" s="152" t="s">
        <v>1136</v>
      </c>
      <c r="AO460" s="824" t="s">
        <v>2072</v>
      </c>
      <c r="AP460" s="250" t="s">
        <v>1191</v>
      </c>
      <c r="AQ460" s="879" t="s">
        <v>2421</v>
      </c>
      <c r="AS460" s="151">
        <v>1500</v>
      </c>
      <c r="AT460" s="154"/>
      <c r="AU460" s="405">
        <v>4</v>
      </c>
      <c r="AV460" s="405"/>
      <c r="AW460" s="405">
        <f>VLOOKUP(Таблица7[[#This Row],[Основное оружие]], Оружие[#All], 2, 0)</f>
        <v>3</v>
      </c>
      <c r="AX460" s="405" t="str">
        <f>IF(ISBLANK(Таблица7[[#This Row],[Дополнительное оружие]]),"", VLOOKUP(Таблица7[[#This Row],[Дополнительное оружие]], Оружие[#All], 2, 0))</f>
        <v/>
      </c>
      <c r="AY46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6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46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60" s="405">
        <f>VLOOKUP(Таблица7[[#This Row],[Основное оружие]], Оружие[#All], 3, 0)</f>
        <v>3</v>
      </c>
      <c r="BC460" s="405" t="str">
        <f>IF(ISBLANK(Таблица7[[#This Row],[Дополнительное оружие]]),"", VLOOKUP(Таблица7[[#This Row],[Дополнительное оружие]], Оружие[#All], 3, 0))</f>
        <v/>
      </c>
      <c r="BD46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60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6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6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5</v>
      </c>
      <c r="BJ460" s="405">
        <f>Таблица7[[#This Row],[Броня]]+Таблица7[[#This Row],[Щит]]+Таблица7[[#This Row],[навык защиты]]</f>
        <v>11</v>
      </c>
      <c r="BK460" s="1006"/>
      <c r="BL460" s="1006"/>
      <c r="BM460" s="400"/>
      <c r="BN460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60" s="400">
        <v>1</v>
      </c>
      <c r="BP460" s="400">
        <v>1</v>
      </c>
      <c r="BQ460" s="400">
        <v>0</v>
      </c>
      <c r="BR460" s="400">
        <v>2</v>
      </c>
      <c r="BS460" s="400">
        <v>0</v>
      </c>
      <c r="BT460" s="400">
        <v>7</v>
      </c>
      <c r="BU460" s="1002" t="s">
        <v>1576</v>
      </c>
      <c r="BV460" s="1002" t="s">
        <v>1843</v>
      </c>
      <c r="BW460" s="400"/>
      <c r="BX460" s="400"/>
      <c r="BY460" s="400"/>
      <c r="BZ460" s="155"/>
    </row>
    <row r="461" spans="1:78" s="151" customFormat="1" ht="40.5" customHeight="1" x14ac:dyDescent="0.25">
      <c r="A461" s="333">
        <v>460</v>
      </c>
      <c r="B461" s="150" t="s">
        <v>1410</v>
      </c>
      <c r="C461" s="150"/>
      <c r="D461" s="150" t="s">
        <v>1555</v>
      </c>
      <c r="E461" s="150" t="s">
        <v>1570</v>
      </c>
      <c r="F461" s="150"/>
      <c r="G461" s="150"/>
      <c r="H461" s="150"/>
      <c r="I461" s="663">
        <v>0.9</v>
      </c>
      <c r="J461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461" s="631">
        <f>Таблица7[[#This Row],[Размер отряда минимум]]*1.25</f>
        <v>45</v>
      </c>
      <c r="L461" s="631">
        <f>Таблица7[[#This Row],[Размер отряда норма]]*1.5</f>
        <v>67.5</v>
      </c>
      <c r="M461" s="633">
        <f>Таблица7[[#This Row],[Размер отряда минимум]]*2.5</f>
        <v>90</v>
      </c>
      <c r="N461" s="633"/>
      <c r="O461" s="633"/>
      <c r="P461" s="633"/>
      <c r="Q461" s="633"/>
      <c r="R461" s="152" t="s">
        <v>1135</v>
      </c>
      <c r="S461" s="824" t="s">
        <v>2072</v>
      </c>
      <c r="T461" s="152" t="s">
        <v>1032</v>
      </c>
      <c r="U461" s="908" t="s">
        <v>2643</v>
      </c>
      <c r="V461" s="153"/>
      <c r="W461" s="152" t="s">
        <v>984</v>
      </c>
      <c r="X461" s="152" t="s">
        <v>1688</v>
      </c>
      <c r="Y461" s="152"/>
      <c r="Z461" s="152" t="s">
        <v>1441</v>
      </c>
      <c r="AA461" s="152"/>
      <c r="AB461" s="152" t="s">
        <v>944</v>
      </c>
      <c r="AC461" s="152"/>
      <c r="AD461" s="193" t="s">
        <v>985</v>
      </c>
      <c r="AE461" s="193"/>
      <c r="AF461" s="152" t="s">
        <v>985</v>
      </c>
      <c r="AG461" s="152"/>
      <c r="AH461" s="152" t="s">
        <v>985</v>
      </c>
      <c r="AI461" s="152"/>
      <c r="AJ461" s="193" t="s">
        <v>985</v>
      </c>
      <c r="AK461" s="193"/>
      <c r="AL461" s="210" t="s">
        <v>985</v>
      </c>
      <c r="AM461" s="152" t="s">
        <v>1136</v>
      </c>
      <c r="AN461" s="152" t="s">
        <v>1136</v>
      </c>
      <c r="AO461" s="824" t="s">
        <v>2072</v>
      </c>
      <c r="AP461" s="152" t="s">
        <v>981</v>
      </c>
      <c r="AQ461" s="152"/>
      <c r="AS461" s="151">
        <v>1500</v>
      </c>
      <c r="AT461" s="154"/>
      <c r="AU461" s="405">
        <v>7</v>
      </c>
      <c r="AV461" s="405" t="s">
        <v>1827</v>
      </c>
      <c r="AW461" s="405">
        <f>VLOOKUP(Таблица7[[#This Row],[Основное оружие]], Оружие[#All], 2, 0)</f>
        <v>0</v>
      </c>
      <c r="AX461" s="405">
        <f>IF(ISBLANK(Таблица7[[#This Row],[Дополнительное оружие]]),"", VLOOKUP(Таблица7[[#This Row],[Дополнительное оружие]], Оружие[#All], 2, 0))</f>
        <v>4</v>
      </c>
      <c r="AY46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6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6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61" s="405">
        <f>VLOOKUP(Таблица7[[#This Row],[Основное оружие]], Оружие[#All], 3, 0)</f>
        <v>1</v>
      </c>
      <c r="BC461" s="405">
        <f>IF(ISBLANK(Таблица7[[#This Row],[Дополнительное оружие]]),"", VLOOKUP(Таблица7[[#This Row],[Дополнительное оружие]], Оружие[#All], 3, 0))</f>
        <v>3</v>
      </c>
      <c r="BD46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6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6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6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3</v>
      </c>
      <c r="BJ461" s="405">
        <f>Таблица7[[#This Row],[Броня]]+Таблица7[[#This Row],[Щит]]+Таблица7[[#This Row],[навык защиты]]</f>
        <v>10</v>
      </c>
      <c r="BK461" s="1006"/>
      <c r="BL461" s="1006"/>
      <c r="BM461" s="400"/>
      <c r="BN461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61" s="400">
        <v>1</v>
      </c>
      <c r="BP461" s="399">
        <v>-2</v>
      </c>
      <c r="BQ461" s="399">
        <v>0</v>
      </c>
      <c r="BR461" s="399">
        <v>-4</v>
      </c>
      <c r="BS461" s="399">
        <v>-2</v>
      </c>
      <c r="BT461" s="400">
        <v>7</v>
      </c>
      <c r="BU461" s="1002" t="s">
        <v>1576</v>
      </c>
      <c r="BV461" s="1002" t="s">
        <v>1843</v>
      </c>
      <c r="BW461" s="400"/>
      <c r="BX461" s="400"/>
      <c r="BY461" s="400"/>
      <c r="BZ461" s="155"/>
    </row>
    <row r="462" spans="1:78" s="151" customFormat="1" ht="40.5" customHeight="1" x14ac:dyDescent="0.25">
      <c r="A462" s="333">
        <v>461</v>
      </c>
      <c r="B462" s="150" t="s">
        <v>1411</v>
      </c>
      <c r="C462" s="150"/>
      <c r="D462" s="152" t="s">
        <v>1556</v>
      </c>
      <c r="E462" s="150" t="s">
        <v>1570</v>
      </c>
      <c r="F462" s="150"/>
      <c r="G462" s="150"/>
      <c r="H462" s="150"/>
      <c r="I462" s="663">
        <v>0.75</v>
      </c>
      <c r="J462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62" s="631">
        <f>Таблица7[[#This Row],[Размер отряда минимум]]*1.25</f>
        <v>93.75</v>
      </c>
      <c r="L462" s="631">
        <f>Таблица7[[#This Row],[Размер отряда норма]]*1.5</f>
        <v>140.625</v>
      </c>
      <c r="M462" s="633">
        <f>Таблица7[[#This Row],[Размер отряда минимум]]*2.5</f>
        <v>187.5</v>
      </c>
      <c r="N462" s="633"/>
      <c r="O462" s="633"/>
      <c r="P462" s="633"/>
      <c r="Q462" s="633"/>
      <c r="R462" s="152" t="s">
        <v>1135</v>
      </c>
      <c r="S462" s="824" t="s">
        <v>2072</v>
      </c>
      <c r="T462" s="152" t="s">
        <v>1032</v>
      </c>
      <c r="U462" s="908" t="s">
        <v>2644</v>
      </c>
      <c r="V462" s="153"/>
      <c r="W462" s="193" t="s">
        <v>984</v>
      </c>
      <c r="X462" s="152" t="s">
        <v>1469</v>
      </c>
      <c r="Y462" s="152"/>
      <c r="Z462" s="152" t="s">
        <v>1441</v>
      </c>
      <c r="AA462" s="152"/>
      <c r="AB462" s="152"/>
      <c r="AC462" s="152"/>
      <c r="AD462" s="193" t="s">
        <v>985</v>
      </c>
      <c r="AE462" s="193"/>
      <c r="AF462" s="152" t="s">
        <v>985</v>
      </c>
      <c r="AG462" s="152"/>
      <c r="AH462" s="152" t="s">
        <v>985</v>
      </c>
      <c r="AI462" s="152"/>
      <c r="AJ462" s="193" t="s">
        <v>985</v>
      </c>
      <c r="AK462" s="193"/>
      <c r="AL462" s="210" t="s">
        <v>985</v>
      </c>
      <c r="AM462" s="152" t="s">
        <v>1136</v>
      </c>
      <c r="AN462" s="152" t="s">
        <v>1136</v>
      </c>
      <c r="AO462" s="824" t="s">
        <v>2072</v>
      </c>
      <c r="AP462" s="152" t="s">
        <v>981</v>
      </c>
      <c r="AQ462" s="152"/>
      <c r="AS462" s="151">
        <v>1530</v>
      </c>
      <c r="AT462" s="154"/>
      <c r="AU462" s="405">
        <v>5</v>
      </c>
      <c r="AV462" s="405" t="s">
        <v>1828</v>
      </c>
      <c r="AW462" s="405">
        <f>VLOOKUP(Таблица7[[#This Row],[Основное оружие]], Оружие[#All], 2, 0)</f>
        <v>0</v>
      </c>
      <c r="AX462" s="405">
        <f>IF(ISBLANK(Таблица7[[#This Row],[Дополнительное оружие]]),"", VLOOKUP(Таблица7[[#This Row],[Дополнительное оружие]], Оружие[#All], 2, 0))</f>
        <v>4</v>
      </c>
      <c r="AY46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6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6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62" s="405">
        <f>VLOOKUP(Таблица7[[#This Row],[Основное оружие]], Оружие[#All], 3, 0)</f>
        <v>1</v>
      </c>
      <c r="BC462" s="405">
        <f>IF(ISBLANK(Таблица7[[#This Row],[Дополнительное оружие]]),"", VLOOKUP(Таблица7[[#This Row],[Дополнительное оружие]], Оружие[#All], 3, 0))</f>
        <v>3</v>
      </c>
      <c r="BD46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6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6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6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62" s="405">
        <f>Таблица7[[#This Row],[Броня]]+Таблица7[[#This Row],[Щит]]+Таблица7[[#This Row],[навык защиты]]</f>
        <v>7</v>
      </c>
      <c r="BK462" s="1006"/>
      <c r="BL462" s="1006"/>
      <c r="BM462" s="400"/>
      <c r="BN462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62" s="400">
        <v>1</v>
      </c>
      <c r="BP462" s="400">
        <v>1</v>
      </c>
      <c r="BQ462" s="400">
        <v>0</v>
      </c>
      <c r="BR462" s="400">
        <v>2</v>
      </c>
      <c r="BS462" s="400">
        <v>0</v>
      </c>
      <c r="BT462" s="400">
        <v>7</v>
      </c>
      <c r="BU462" s="1002" t="s">
        <v>1576</v>
      </c>
      <c r="BV462" s="1002" t="s">
        <v>1842</v>
      </c>
      <c r="BW462" s="400"/>
      <c r="BX462" s="400"/>
      <c r="BY462" s="400"/>
      <c r="BZ462" s="155"/>
    </row>
    <row r="463" spans="1:78" s="151" customFormat="1" ht="40.5" customHeight="1" x14ac:dyDescent="0.25">
      <c r="A463" s="333">
        <v>462</v>
      </c>
      <c r="B463" s="150" t="s">
        <v>1412</v>
      </c>
      <c r="C463" s="150"/>
      <c r="D463" s="150" t="s">
        <v>1555</v>
      </c>
      <c r="E463" s="150" t="s">
        <v>1570</v>
      </c>
      <c r="F463" s="150"/>
      <c r="G463" s="150"/>
      <c r="H463" s="150"/>
      <c r="I463" s="663">
        <v>0.9</v>
      </c>
      <c r="J463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463" s="631">
        <f>Таблица7[[#This Row],[Размер отряда минимум]]*1.25</f>
        <v>45</v>
      </c>
      <c r="L463" s="631">
        <f>Таблица7[[#This Row],[Размер отряда норма]]*1.5</f>
        <v>67.5</v>
      </c>
      <c r="M463" s="633">
        <f>Таблица7[[#This Row],[Размер отряда минимум]]*2.5</f>
        <v>90</v>
      </c>
      <c r="N463" s="633"/>
      <c r="O463" s="633"/>
      <c r="P463" s="633"/>
      <c r="Q463" s="633"/>
      <c r="R463" s="152" t="s">
        <v>1135</v>
      </c>
      <c r="S463" s="824" t="s">
        <v>2072</v>
      </c>
      <c r="T463" s="152" t="s">
        <v>1032</v>
      </c>
      <c r="U463" s="908" t="s">
        <v>2645</v>
      </c>
      <c r="V463" s="153"/>
      <c r="W463" s="193" t="s">
        <v>984</v>
      </c>
      <c r="X463" s="152" t="s">
        <v>1688</v>
      </c>
      <c r="Y463" s="152"/>
      <c r="Z463" s="152" t="s">
        <v>1441</v>
      </c>
      <c r="AA463" s="152"/>
      <c r="AB463" s="152"/>
      <c r="AC463" s="152"/>
      <c r="AD463" s="193" t="s">
        <v>985</v>
      </c>
      <c r="AE463" s="193"/>
      <c r="AF463" s="152" t="s">
        <v>985</v>
      </c>
      <c r="AG463" s="152"/>
      <c r="AH463" s="152" t="s">
        <v>985</v>
      </c>
      <c r="AI463" s="152"/>
      <c r="AJ463" s="193" t="s">
        <v>985</v>
      </c>
      <c r="AK463" s="193"/>
      <c r="AL463" s="210" t="s">
        <v>985</v>
      </c>
      <c r="AM463" s="152" t="s">
        <v>1136</v>
      </c>
      <c r="AN463" s="152" t="s">
        <v>1136</v>
      </c>
      <c r="AO463" s="824" t="s">
        <v>2072</v>
      </c>
      <c r="AP463" s="152" t="s">
        <v>981</v>
      </c>
      <c r="AQ463" s="152"/>
      <c r="AS463" s="151">
        <v>1500</v>
      </c>
      <c r="AT463" s="154"/>
      <c r="AU463" s="405">
        <v>7</v>
      </c>
      <c r="AV463" s="405" t="s">
        <v>1828</v>
      </c>
      <c r="AW463" s="405">
        <f>VLOOKUP(Таблица7[[#This Row],[Основное оружие]], Оружие[#All], 2, 0)</f>
        <v>0</v>
      </c>
      <c r="AX463" s="405">
        <f>IF(ISBLANK(Таблица7[[#This Row],[Дополнительное оружие]]),"", VLOOKUP(Таблица7[[#This Row],[Дополнительное оружие]], Оружие[#All], 2, 0))</f>
        <v>4</v>
      </c>
      <c r="AY46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6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6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63" s="405">
        <f>VLOOKUP(Таблица7[[#This Row],[Основное оружие]], Оружие[#All], 3, 0)</f>
        <v>1</v>
      </c>
      <c r="BC463" s="405">
        <f>IF(ISBLANK(Таблица7[[#This Row],[Дополнительное оружие]]),"", VLOOKUP(Таблица7[[#This Row],[Дополнительное оружие]], Оружие[#All], 3, 0))</f>
        <v>3</v>
      </c>
      <c r="BD46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63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6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6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63" s="405">
        <f>Таблица7[[#This Row],[Броня]]+Таблица7[[#This Row],[Щит]]+Таблица7[[#This Row],[навык защиты]]</f>
        <v>7</v>
      </c>
      <c r="BK463" s="1006"/>
      <c r="BL463" s="1006"/>
      <c r="BM463" s="400"/>
      <c r="BN463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63" s="400">
        <v>1</v>
      </c>
      <c r="BP463" s="399">
        <v>-2</v>
      </c>
      <c r="BQ463" s="399">
        <v>0</v>
      </c>
      <c r="BR463" s="399">
        <v>-4</v>
      </c>
      <c r="BS463" s="399">
        <v>-2</v>
      </c>
      <c r="BT463" s="400">
        <v>10</v>
      </c>
      <c r="BU463" s="1002" t="s">
        <v>1576</v>
      </c>
      <c r="BV463" s="1002" t="s">
        <v>1842</v>
      </c>
      <c r="BW463" s="400"/>
      <c r="BX463" s="400"/>
      <c r="BY463" s="400"/>
      <c r="BZ463" s="155"/>
    </row>
    <row r="464" spans="1:78" s="151" customFormat="1" ht="40.5" customHeight="1" x14ac:dyDescent="0.25">
      <c r="A464" s="333">
        <v>463</v>
      </c>
      <c r="B464" s="150" t="s">
        <v>1413</v>
      </c>
      <c r="C464" s="150"/>
      <c r="D464" s="150" t="s">
        <v>1555</v>
      </c>
      <c r="E464" s="193" t="s">
        <v>1546</v>
      </c>
      <c r="F464" s="193"/>
      <c r="G464" s="193"/>
      <c r="H464" s="193"/>
      <c r="I464" s="663">
        <v>0.9</v>
      </c>
      <c r="J464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36</v>
      </c>
      <c r="K464" s="631">
        <f>Таблица7[[#This Row],[Размер отряда минимум]]*1.25</f>
        <v>45</v>
      </c>
      <c r="L464" s="631">
        <f>Таблица7[[#This Row],[Размер отряда норма]]*1.5</f>
        <v>67.5</v>
      </c>
      <c r="M464" s="633">
        <f>Таблица7[[#This Row],[Размер отряда минимум]]*2.5</f>
        <v>90</v>
      </c>
      <c r="N464" s="633"/>
      <c r="O464" s="633"/>
      <c r="P464" s="633"/>
      <c r="Q464" s="633"/>
      <c r="R464" s="152" t="s">
        <v>1135</v>
      </c>
      <c r="S464" s="824" t="s">
        <v>2072</v>
      </c>
      <c r="T464" s="152" t="s">
        <v>1032</v>
      </c>
      <c r="U464" s="908" t="s">
        <v>2646</v>
      </c>
      <c r="V464" s="153"/>
      <c r="W464" s="152" t="s">
        <v>1001</v>
      </c>
      <c r="X464" s="152" t="s">
        <v>1528</v>
      </c>
      <c r="Y464" s="152"/>
      <c r="Z464" s="152" t="s">
        <v>1441</v>
      </c>
      <c r="AA464" s="152"/>
      <c r="AB464" s="152"/>
      <c r="AC464" s="152"/>
      <c r="AD464" s="193" t="s">
        <v>985</v>
      </c>
      <c r="AE464" s="193"/>
      <c r="AF464" s="152" t="s">
        <v>985</v>
      </c>
      <c r="AG464" s="152"/>
      <c r="AH464" s="152" t="s">
        <v>985</v>
      </c>
      <c r="AI464" s="152"/>
      <c r="AJ464" s="193" t="s">
        <v>985</v>
      </c>
      <c r="AK464" s="193"/>
      <c r="AL464" s="210" t="s">
        <v>985</v>
      </c>
      <c r="AM464" s="152" t="s">
        <v>1136</v>
      </c>
      <c r="AN464" s="152" t="s">
        <v>1136</v>
      </c>
      <c r="AO464" s="824" t="s">
        <v>2072</v>
      </c>
      <c r="AP464" s="152" t="s">
        <v>981</v>
      </c>
      <c r="AQ464" s="152"/>
      <c r="AS464" s="151">
        <v>1500</v>
      </c>
      <c r="AT464" s="154"/>
      <c r="AU464" s="405">
        <v>7</v>
      </c>
      <c r="AV464" s="405"/>
      <c r="AW464" s="405">
        <f>VLOOKUP(Таблица7[[#This Row],[Основное оружие]], Оружие[#All], 2, 0)</f>
        <v>2</v>
      </c>
      <c r="AX464" s="405">
        <f>IF(ISBLANK(Таблица7[[#This Row],[Дополнительное оружие]]),"", VLOOKUP(Таблица7[[#This Row],[Дополнительное оружие]], Оружие[#All], 2, 0))</f>
        <v>4</v>
      </c>
      <c r="AY46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6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11</v>
      </c>
      <c r="BA46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13</v>
      </c>
      <c r="BB464" s="405">
        <f>VLOOKUP(Таблица7[[#This Row],[Основное оружие]], Оружие[#All], 3, 0)</f>
        <v>6</v>
      </c>
      <c r="BC464" s="405">
        <f>IF(ISBLANK(Таблица7[[#This Row],[Дополнительное оружие]]),"", VLOOKUP(Таблица7[[#This Row],[Дополнительное оружие]], Оружие[#All], 3, 0))</f>
        <v>3</v>
      </c>
      <c r="BD46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64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6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6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64" s="405">
        <f>Таблица7[[#This Row],[Броня]]+Таблица7[[#This Row],[Щит]]+Таблица7[[#This Row],[навык защиты]]</f>
        <v>7</v>
      </c>
      <c r="BK464" s="1006"/>
      <c r="BL464" s="1006"/>
      <c r="BM464" s="400"/>
      <c r="BN464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64" s="400">
        <v>1</v>
      </c>
      <c r="BP464" s="399">
        <v>-2</v>
      </c>
      <c r="BQ464" s="399">
        <v>0</v>
      </c>
      <c r="BR464" s="399">
        <v>-4</v>
      </c>
      <c r="BS464" s="399">
        <v>-2</v>
      </c>
      <c r="BT464" s="400">
        <v>10</v>
      </c>
      <c r="BU464" s="1002" t="s">
        <v>1576</v>
      </c>
      <c r="BV464" s="1002" t="s">
        <v>1842</v>
      </c>
      <c r="BW464" s="400"/>
      <c r="BX464" s="400"/>
      <c r="BY464" s="400"/>
      <c r="BZ464" s="155"/>
    </row>
    <row r="465" spans="1:78" s="151" customFormat="1" ht="40.5" customHeight="1" x14ac:dyDescent="0.25">
      <c r="A465" s="333">
        <v>464</v>
      </c>
      <c r="B465" s="340" t="s">
        <v>1414</v>
      </c>
      <c r="C465" s="340"/>
      <c r="D465" s="150" t="s">
        <v>1555</v>
      </c>
      <c r="E465" s="193" t="s">
        <v>1546</v>
      </c>
      <c r="F465" s="193"/>
      <c r="G465" s="193"/>
      <c r="H465" s="193"/>
      <c r="I465" s="663">
        <v>0.75</v>
      </c>
      <c r="J465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465" s="631">
        <f>Таблица7[[#This Row],[Размер отряда минимум]]*1.25</f>
        <v>33.75</v>
      </c>
      <c r="L465" s="631">
        <f>Таблица7[[#This Row],[Размер отряда норма]]*1.5</f>
        <v>50.625</v>
      </c>
      <c r="M465" s="631">
        <f>Таблица7[[#This Row],[Размер отряда минимум]]*2.5</f>
        <v>67.5</v>
      </c>
      <c r="N465" s="631"/>
      <c r="O465" s="631"/>
      <c r="P465" s="631"/>
      <c r="Q465" s="631"/>
      <c r="R465" s="193" t="s">
        <v>1135</v>
      </c>
      <c r="S465" s="824" t="s">
        <v>2072</v>
      </c>
      <c r="T465" s="193" t="s">
        <v>975</v>
      </c>
      <c r="U465" s="908" t="s">
        <v>2647</v>
      </c>
      <c r="V465" s="153"/>
      <c r="W465" s="193" t="s">
        <v>984</v>
      </c>
      <c r="X465" s="193" t="s">
        <v>1528</v>
      </c>
      <c r="Y465" s="193"/>
      <c r="Z465" s="193" t="s">
        <v>1036</v>
      </c>
      <c r="AA465" s="193"/>
      <c r="AB465" s="193"/>
      <c r="AC465" s="193"/>
      <c r="AD465" s="193" t="s">
        <v>985</v>
      </c>
      <c r="AE465" s="193"/>
      <c r="AF465" s="193" t="s">
        <v>985</v>
      </c>
      <c r="AG465" s="193"/>
      <c r="AH465" s="193" t="s">
        <v>985</v>
      </c>
      <c r="AI465" s="193"/>
      <c r="AJ465" s="193" t="s">
        <v>985</v>
      </c>
      <c r="AK465" s="193"/>
      <c r="AL465" s="210" t="s">
        <v>985</v>
      </c>
      <c r="AM465" s="193" t="s">
        <v>1136</v>
      </c>
      <c r="AN465" s="193" t="s">
        <v>1136</v>
      </c>
      <c r="AO465" s="824" t="s">
        <v>2072</v>
      </c>
      <c r="AP465" s="193" t="s">
        <v>1148</v>
      </c>
      <c r="AQ465" s="193"/>
      <c r="AR465" s="339"/>
      <c r="AS465" s="339">
        <v>1500</v>
      </c>
      <c r="AT465" s="154">
        <v>1550</v>
      </c>
      <c r="AU465" s="406">
        <v>4</v>
      </c>
      <c r="AV465" s="405"/>
      <c r="AW465" s="405">
        <f>VLOOKUP(Таблица7[[#This Row],[Основное оружие]], Оружие[#All], 2, 0)</f>
        <v>2</v>
      </c>
      <c r="AX465" s="405">
        <f>IF(ISBLANK(Таблица7[[#This Row],[Дополнительное оружие]]),"", VLOOKUP(Таблица7[[#This Row],[Дополнительное оружие]], Оружие[#All], 2, 0))</f>
        <v>5</v>
      </c>
      <c r="AY46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6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8</v>
      </c>
      <c r="BA465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65" s="405">
        <f>VLOOKUP(Таблица7[[#This Row],[Основное оружие]], Оружие[#All], 3, 0)</f>
        <v>6</v>
      </c>
      <c r="BC465" s="405">
        <f>IF(ISBLANK(Таблица7[[#This Row],[Дополнительное оружие]]),"", VLOOKUP(Таблица7[[#This Row],[Дополнительное оружие]], Оружие[#All], 3, 0))</f>
        <v>3</v>
      </c>
      <c r="BD46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65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6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6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65" s="405">
        <f>Таблица7[[#This Row],[Броня]]+Таблица7[[#This Row],[Щит]]+Таблица7[[#This Row],[навык защиты]]</f>
        <v>4</v>
      </c>
      <c r="BK465" s="1006"/>
      <c r="BL465" s="1006"/>
      <c r="BM465" s="401"/>
      <c r="BN465" s="100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65" s="401">
        <v>3</v>
      </c>
      <c r="BP465" s="399">
        <v>-2</v>
      </c>
      <c r="BQ465" s="399">
        <v>0</v>
      </c>
      <c r="BR465" s="399">
        <v>-4</v>
      </c>
      <c r="BS465" s="399">
        <v>-2</v>
      </c>
      <c r="BT465" s="401">
        <v>7</v>
      </c>
      <c r="BU465" s="1003" t="s">
        <v>1839</v>
      </c>
      <c r="BV465" s="1002" t="s">
        <v>1842</v>
      </c>
      <c r="BW465" s="401"/>
      <c r="BX465" s="401"/>
      <c r="BY465" s="401"/>
      <c r="BZ465" s="155"/>
    </row>
    <row r="466" spans="1:78" s="151" customFormat="1" ht="40.5" customHeight="1" x14ac:dyDescent="0.25">
      <c r="A466" s="333">
        <v>465</v>
      </c>
      <c r="B466" s="150" t="s">
        <v>1414</v>
      </c>
      <c r="C466" s="150"/>
      <c r="D466" s="150" t="s">
        <v>1555</v>
      </c>
      <c r="E466" s="150" t="s">
        <v>1570</v>
      </c>
      <c r="F466" s="150"/>
      <c r="G466" s="150"/>
      <c r="H466" s="150"/>
      <c r="I466" s="663">
        <v>0.75</v>
      </c>
      <c r="J466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466" s="631">
        <f>Таблица7[[#This Row],[Размер отряда минимум]]*1.25</f>
        <v>37.5</v>
      </c>
      <c r="L466" s="631">
        <f>Таблица7[[#This Row],[Размер отряда норма]]*1.5</f>
        <v>56.25</v>
      </c>
      <c r="M466" s="633">
        <f>Таблица7[[#This Row],[Размер отряда минимум]]*2.5</f>
        <v>75</v>
      </c>
      <c r="N466" s="633"/>
      <c r="O466" s="633"/>
      <c r="P466" s="633"/>
      <c r="Q466" s="633"/>
      <c r="R466" s="152" t="s">
        <v>1135</v>
      </c>
      <c r="S466" s="824" t="s">
        <v>2072</v>
      </c>
      <c r="T466" s="152" t="s">
        <v>976</v>
      </c>
      <c r="U466" s="908" t="s">
        <v>2648</v>
      </c>
      <c r="V466" s="153"/>
      <c r="W466" s="152" t="s">
        <v>984</v>
      </c>
      <c r="X466" s="152" t="s">
        <v>1693</v>
      </c>
      <c r="Y466" s="152"/>
      <c r="Z466" s="152" t="s">
        <v>1036</v>
      </c>
      <c r="AA466" s="152"/>
      <c r="AB466" s="152"/>
      <c r="AC466" s="152"/>
      <c r="AD466" s="193" t="s">
        <v>985</v>
      </c>
      <c r="AE466" s="193"/>
      <c r="AF466" s="152" t="s">
        <v>985</v>
      </c>
      <c r="AG466" s="152"/>
      <c r="AH466" s="152" t="s">
        <v>985</v>
      </c>
      <c r="AI466" s="152"/>
      <c r="AJ466" s="193" t="s">
        <v>985</v>
      </c>
      <c r="AK466" s="193"/>
      <c r="AL466" s="210" t="s">
        <v>985</v>
      </c>
      <c r="AM466" s="152" t="s">
        <v>1136</v>
      </c>
      <c r="AN466" s="152" t="s">
        <v>1136</v>
      </c>
      <c r="AO466" s="824" t="s">
        <v>2072</v>
      </c>
      <c r="AP466" s="152" t="s">
        <v>1148</v>
      </c>
      <c r="AQ466" s="152"/>
      <c r="AS466" s="151">
        <v>1550</v>
      </c>
      <c r="AT466" s="154"/>
      <c r="AU466" s="405">
        <v>4</v>
      </c>
      <c r="AV466" s="405" t="s">
        <v>1827</v>
      </c>
      <c r="AW466" s="405">
        <f>VLOOKUP(Таблица7[[#This Row],[Основное оружие]], Оружие[#All], 2, 0)</f>
        <v>0</v>
      </c>
      <c r="AX466" s="405">
        <f>IF(ISBLANK(Таблица7[[#This Row],[Дополнительное оружие]]),"", VLOOKUP(Таблица7[[#This Row],[Дополнительное оружие]], Оружие[#All], 2, 0))</f>
        <v>5</v>
      </c>
      <c r="AY46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6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6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66" s="405">
        <f>VLOOKUP(Таблица7[[#This Row],[Основное оружие]], Оружие[#All], 3, 0)</f>
        <v>1</v>
      </c>
      <c r="BC466" s="405">
        <f>IF(ISBLANK(Таблица7[[#This Row],[Дополнительное оружие]]),"", VLOOKUP(Таблица7[[#This Row],[Дополнительное оружие]], Оружие[#All], 3, 0))</f>
        <v>3</v>
      </c>
      <c r="BD46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6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6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6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66" s="405">
        <f>Таблица7[[#This Row],[Броня]]+Таблица7[[#This Row],[Щит]]+Таблица7[[#This Row],[навык защиты]]</f>
        <v>4</v>
      </c>
      <c r="BK466" s="1006"/>
      <c r="BL466" s="1006"/>
      <c r="BM466" s="400"/>
      <c r="BN466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66" s="400">
        <v>3</v>
      </c>
      <c r="BP466" s="399">
        <v>-2</v>
      </c>
      <c r="BQ466" s="399">
        <v>0</v>
      </c>
      <c r="BR466" s="399">
        <v>-4</v>
      </c>
      <c r="BS466" s="399">
        <v>-2</v>
      </c>
      <c r="BT466" s="400">
        <v>7</v>
      </c>
      <c r="BU466" s="1003" t="s">
        <v>1839</v>
      </c>
      <c r="BV466" s="1002" t="s">
        <v>1842</v>
      </c>
      <c r="BW466" s="400"/>
      <c r="BX466" s="400"/>
      <c r="BY466" s="400"/>
      <c r="BZ466" s="155"/>
    </row>
    <row r="467" spans="1:78" s="151" customFormat="1" ht="40.5" customHeight="1" x14ac:dyDescent="0.25">
      <c r="A467" s="333">
        <v>466</v>
      </c>
      <c r="B467" s="150" t="s">
        <v>1415</v>
      </c>
      <c r="C467" s="150"/>
      <c r="D467" s="150" t="s">
        <v>1555</v>
      </c>
      <c r="E467" s="150" t="s">
        <v>1570</v>
      </c>
      <c r="F467" s="150"/>
      <c r="G467" s="150"/>
      <c r="H467" s="150"/>
      <c r="I467" s="663">
        <v>0.75</v>
      </c>
      <c r="J467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30</v>
      </c>
      <c r="K467" s="631">
        <f>Таблица7[[#This Row],[Размер отряда минимум]]*1.25</f>
        <v>37.5</v>
      </c>
      <c r="L467" s="631">
        <f>Таблица7[[#This Row],[Размер отряда норма]]*1.5</f>
        <v>56.25</v>
      </c>
      <c r="M467" s="633">
        <f>Таблица7[[#This Row],[Размер отряда минимум]]*2.5</f>
        <v>75</v>
      </c>
      <c r="N467" s="633"/>
      <c r="O467" s="633"/>
      <c r="P467" s="633"/>
      <c r="Q467" s="633"/>
      <c r="R467" s="152" t="s">
        <v>1135</v>
      </c>
      <c r="S467" s="824" t="s">
        <v>2072</v>
      </c>
      <c r="T467" s="152" t="s">
        <v>976</v>
      </c>
      <c r="U467" s="908" t="s">
        <v>2649</v>
      </c>
      <c r="V467" s="153"/>
      <c r="W467" s="152" t="s">
        <v>984</v>
      </c>
      <c r="X467" s="152" t="s">
        <v>1469</v>
      </c>
      <c r="Y467" s="152"/>
      <c r="Z467" s="152" t="s">
        <v>1036</v>
      </c>
      <c r="AA467" s="152"/>
      <c r="AB467" s="152"/>
      <c r="AC467" s="152"/>
      <c r="AD467" s="193" t="s">
        <v>985</v>
      </c>
      <c r="AE467" s="193"/>
      <c r="AF467" s="152" t="s">
        <v>985</v>
      </c>
      <c r="AG467" s="152"/>
      <c r="AH467" s="152" t="s">
        <v>985</v>
      </c>
      <c r="AI467" s="152"/>
      <c r="AJ467" s="193" t="s">
        <v>985</v>
      </c>
      <c r="AK467" s="193"/>
      <c r="AL467" s="210" t="s">
        <v>985</v>
      </c>
      <c r="AM467" s="152" t="s">
        <v>1136</v>
      </c>
      <c r="AN467" s="152" t="s">
        <v>1136</v>
      </c>
      <c r="AO467" s="824" t="s">
        <v>2072</v>
      </c>
      <c r="AP467" s="152" t="s">
        <v>1148</v>
      </c>
      <c r="AQ467" s="152"/>
      <c r="AS467" s="151">
        <v>1548</v>
      </c>
      <c r="AT467" s="154"/>
      <c r="AU467" s="405">
        <v>2</v>
      </c>
      <c r="AV467" s="405" t="s">
        <v>1827</v>
      </c>
      <c r="AW467" s="405">
        <f>VLOOKUP(Таблица7[[#This Row],[Основное оружие]], Оружие[#All], 2, 0)</f>
        <v>0</v>
      </c>
      <c r="AX467" s="405">
        <f>IF(ISBLANK(Таблица7[[#This Row],[Дополнительное оружие]]),"", VLOOKUP(Таблица7[[#This Row],[Дополнительное оружие]], Оружие[#All], 2, 0))</f>
        <v>5</v>
      </c>
      <c r="AY46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6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67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67" s="405">
        <f>VLOOKUP(Таблица7[[#This Row],[Основное оружие]], Оружие[#All], 3, 0)</f>
        <v>1</v>
      </c>
      <c r="BC467" s="405">
        <f>IF(ISBLANK(Таблица7[[#This Row],[Дополнительное оружие]]),"", VLOOKUP(Таблица7[[#This Row],[Дополнительное оружие]], Оружие[#All], 3, 0))</f>
        <v>3</v>
      </c>
      <c r="BD46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6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6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46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67" s="405">
        <f>Таблица7[[#This Row],[Броня]]+Таблица7[[#This Row],[Щит]]+Таблица7[[#This Row],[навык защиты]]</f>
        <v>2</v>
      </c>
      <c r="BK467" s="1006"/>
      <c r="BL467" s="1006"/>
      <c r="BM467" s="400"/>
      <c r="BN467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67" s="400">
        <v>3</v>
      </c>
      <c r="BP467" s="399">
        <v>-2</v>
      </c>
      <c r="BQ467" s="399">
        <v>0</v>
      </c>
      <c r="BR467" s="399">
        <v>-4</v>
      </c>
      <c r="BS467" s="399">
        <v>-2</v>
      </c>
      <c r="BT467" s="400">
        <v>6</v>
      </c>
      <c r="BU467" s="1003" t="s">
        <v>1839</v>
      </c>
      <c r="BV467" s="1002" t="s">
        <v>1842</v>
      </c>
      <c r="BW467" s="400"/>
      <c r="BX467" s="400"/>
      <c r="BY467" s="400"/>
      <c r="BZ467" s="155"/>
    </row>
    <row r="468" spans="1:78" s="151" customFormat="1" ht="40.5" customHeight="1" x14ac:dyDescent="0.25">
      <c r="A468" s="333">
        <v>467</v>
      </c>
      <c r="B468" s="150" t="s">
        <v>1580</v>
      </c>
      <c r="C468" s="150"/>
      <c r="D468" s="152" t="s">
        <v>1556</v>
      </c>
      <c r="E468" s="152" t="s">
        <v>1448</v>
      </c>
      <c r="F468" s="152"/>
      <c r="G468" s="152"/>
      <c r="H468" s="152"/>
      <c r="I468" s="663">
        <v>0.9</v>
      </c>
      <c r="J468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468" s="631">
        <f>Таблица7[[#This Row],[Размер отряда минимум]]*1.25</f>
        <v>101.25</v>
      </c>
      <c r="L468" s="631">
        <f>Таблица7[[#This Row],[Размер отряда норма]]*1.5</f>
        <v>151.875</v>
      </c>
      <c r="M468" s="633">
        <f>Таблица7[[#This Row],[Размер отряда минимум]]*2.5</f>
        <v>202.5</v>
      </c>
      <c r="N468" s="633"/>
      <c r="O468" s="633"/>
      <c r="P468" s="633"/>
      <c r="Q468" s="633"/>
      <c r="R468" s="152" t="s">
        <v>1135</v>
      </c>
      <c r="S468" s="824" t="s">
        <v>2072</v>
      </c>
      <c r="T468" s="152" t="s">
        <v>975</v>
      </c>
      <c r="U468" s="908" t="s">
        <v>2650</v>
      </c>
      <c r="V468" s="446"/>
      <c r="W468" s="152" t="s">
        <v>993</v>
      </c>
      <c r="X468" s="437" t="s">
        <v>996</v>
      </c>
      <c r="Y468" s="437"/>
      <c r="Z468" s="152"/>
      <c r="AA468" s="152"/>
      <c r="AB468" s="152"/>
      <c r="AC468" s="152"/>
      <c r="AD468" s="193" t="s">
        <v>1158</v>
      </c>
      <c r="AE468" s="193"/>
      <c r="AF468" s="152" t="s">
        <v>1211</v>
      </c>
      <c r="AG468" s="152"/>
      <c r="AH468" s="152" t="s">
        <v>985</v>
      </c>
      <c r="AI468" s="152"/>
      <c r="AJ468" s="193" t="s">
        <v>985</v>
      </c>
      <c r="AK468" s="193"/>
      <c r="AL468" s="210" t="s">
        <v>985</v>
      </c>
      <c r="AM468" s="152" t="s">
        <v>1136</v>
      </c>
      <c r="AN468" s="152" t="s">
        <v>1136</v>
      </c>
      <c r="AO468" s="824" t="s">
        <v>2072</v>
      </c>
      <c r="AP468" s="152" t="s">
        <v>1150</v>
      </c>
      <c r="AQ468" s="152"/>
      <c r="AS468" s="151">
        <v>1500</v>
      </c>
      <c r="AT468" s="154">
        <v>1550</v>
      </c>
      <c r="AU468" s="405">
        <v>6</v>
      </c>
      <c r="AV468" s="405"/>
      <c r="AW468" s="405">
        <f>VLOOKUP(Таблица7[[#This Row],[Основное оружие]], Оружие[#All], 2, 0)</f>
        <v>7</v>
      </c>
      <c r="AX468" s="405" t="str">
        <f>IF(ISBLANK(Таблица7[[#This Row],[Дополнительное оружие]]),"", VLOOKUP(Таблица7[[#This Row],[Дополнительное оружие]], Оружие[#All], 2, 0))</f>
        <v/>
      </c>
      <c r="AY46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6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46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68" s="405">
        <f>VLOOKUP(Таблица7[[#This Row],[Основное оружие]], Оружие[#All], 3, 0)</f>
        <v>3</v>
      </c>
      <c r="BC468" s="405" t="str">
        <f>IF(ISBLANK(Таблица7[[#This Row],[Дополнительное оружие]]),"", VLOOKUP(Таблица7[[#This Row],[Дополнительное оружие]], Оружие[#All], 3, 0))</f>
        <v/>
      </c>
      <c r="BD46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68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6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6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68" s="405">
        <f>Таблица7[[#This Row],[Броня]]+Таблица7[[#This Row],[Щит]]+Таблица7[[#This Row],[навык защиты]]</f>
        <v>19</v>
      </c>
      <c r="BK468" s="1006"/>
      <c r="BL468" s="1006"/>
      <c r="BM468" s="400"/>
      <c r="BN468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68" s="400">
        <v>2</v>
      </c>
      <c r="BP468" s="400">
        <v>0</v>
      </c>
      <c r="BQ468" s="400">
        <v>-1</v>
      </c>
      <c r="BR468" s="400">
        <v>-1</v>
      </c>
      <c r="BS468" s="400">
        <v>1</v>
      </c>
      <c r="BT468" s="400">
        <v>10</v>
      </c>
      <c r="BU468" s="1002" t="s">
        <v>1840</v>
      </c>
      <c r="BV468" s="1002" t="s">
        <v>1844</v>
      </c>
      <c r="BW468" s="400"/>
      <c r="BX468" s="400"/>
      <c r="BY468" s="400"/>
      <c r="BZ468" s="155"/>
    </row>
    <row r="469" spans="1:78" s="151" customFormat="1" ht="40.5" customHeight="1" x14ac:dyDescent="0.25">
      <c r="A469" s="333">
        <v>468</v>
      </c>
      <c r="B469" s="150" t="s">
        <v>1416</v>
      </c>
      <c r="C469" s="150"/>
      <c r="D469" s="152" t="s">
        <v>1556</v>
      </c>
      <c r="E469" s="152" t="s">
        <v>1561</v>
      </c>
      <c r="F469" s="152"/>
      <c r="G469" s="152"/>
      <c r="H469" s="152"/>
      <c r="I469" s="663">
        <v>0.75</v>
      </c>
      <c r="J469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69" s="631">
        <f>Таблица7[[#This Row],[Размер отряда минимум]]*1.25</f>
        <v>93.75</v>
      </c>
      <c r="L469" s="631">
        <f>Таблица7[[#This Row],[Размер отряда норма]]*1.5</f>
        <v>140.625</v>
      </c>
      <c r="M469" s="633">
        <f>Таблица7[[#This Row],[Размер отряда минимум]]*2.5</f>
        <v>187.5</v>
      </c>
      <c r="N469" s="633"/>
      <c r="O469" s="633"/>
      <c r="P469" s="633"/>
      <c r="Q469" s="633"/>
      <c r="R469" s="152" t="s">
        <v>1135</v>
      </c>
      <c r="S469" s="824" t="s">
        <v>2072</v>
      </c>
      <c r="T469" s="225" t="s">
        <v>976</v>
      </c>
      <c r="U469" s="908" t="s">
        <v>2651</v>
      </c>
      <c r="V469" s="153"/>
      <c r="W469" s="152" t="s">
        <v>993</v>
      </c>
      <c r="X469" s="152" t="s">
        <v>994</v>
      </c>
      <c r="Y469" s="152"/>
      <c r="Z469" s="152"/>
      <c r="AA469" s="152"/>
      <c r="AB469" s="152"/>
      <c r="AC469" s="152"/>
      <c r="AD469" s="193" t="s">
        <v>1158</v>
      </c>
      <c r="AE469" s="193"/>
      <c r="AF469" s="152" t="s">
        <v>1211</v>
      </c>
      <c r="AG469" s="152"/>
      <c r="AH469" s="152" t="s">
        <v>985</v>
      </c>
      <c r="AI469" s="152"/>
      <c r="AJ469" s="193" t="s">
        <v>985</v>
      </c>
      <c r="AK469" s="193"/>
      <c r="AL469" s="210" t="s">
        <v>985</v>
      </c>
      <c r="AM469" s="152" t="s">
        <v>1136</v>
      </c>
      <c r="AN469" s="152" t="s">
        <v>1136</v>
      </c>
      <c r="AO469" s="824" t="s">
        <v>2072</v>
      </c>
      <c r="AP469" s="310" t="s">
        <v>1424</v>
      </c>
      <c r="AQ469" s="310"/>
      <c r="AS469" s="151">
        <v>1550</v>
      </c>
      <c r="AT469" s="154"/>
      <c r="AU469" s="405">
        <v>5</v>
      </c>
      <c r="AV469" s="405"/>
      <c r="AW469" s="405">
        <f>VLOOKUP(Таблица7[[#This Row],[Основное оружие]], Оружие[#All], 2, 0)</f>
        <v>1</v>
      </c>
      <c r="AX469" s="405" t="str">
        <f>IF(ISBLANK(Таблица7[[#This Row],[Дополнительное оружие]]),"", VLOOKUP(Таблица7[[#This Row],[Дополнительное оружие]], Оружие[#All], 2, 0))</f>
        <v/>
      </c>
      <c r="AY46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46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469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69" s="405">
        <f>VLOOKUP(Таблица7[[#This Row],[Основное оружие]], Оружие[#All], 3, 0)</f>
        <v>1</v>
      </c>
      <c r="BC469" s="405" t="str">
        <f>IF(ISBLANK(Таблица7[[#This Row],[Дополнительное оружие]]),"", VLOOKUP(Таблица7[[#This Row],[Дополнительное оружие]], Оружие[#All], 3, 0))</f>
        <v/>
      </c>
      <c r="BD46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69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46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6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6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6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69" s="405">
        <f>Таблица7[[#This Row],[Броня]]+Таблица7[[#This Row],[Щит]]+Таблица7[[#This Row],[навык защиты]]</f>
        <v>16</v>
      </c>
      <c r="BK469" s="1006"/>
      <c r="BL469" s="1006"/>
      <c r="BM469" s="400"/>
      <c r="BN469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69" s="400">
        <v>2</v>
      </c>
      <c r="BP469" s="400">
        <v>-1</v>
      </c>
      <c r="BQ469" s="400">
        <v>-1</v>
      </c>
      <c r="BR469" s="400">
        <v>-2</v>
      </c>
      <c r="BS469" s="400">
        <v>1</v>
      </c>
      <c r="BT469" s="400">
        <v>7</v>
      </c>
      <c r="BU469" s="1002" t="s">
        <v>1576</v>
      </c>
      <c r="BV469" s="1002" t="s">
        <v>1843</v>
      </c>
      <c r="BW469" s="400"/>
      <c r="BX469" s="400"/>
      <c r="BY469" s="400"/>
      <c r="BZ469" s="155"/>
    </row>
    <row r="470" spans="1:78" s="151" customFormat="1" ht="40.5" customHeight="1" x14ac:dyDescent="0.25">
      <c r="A470" s="333">
        <v>469</v>
      </c>
      <c r="B470" s="150" t="s">
        <v>1417</v>
      </c>
      <c r="C470" s="150"/>
      <c r="D470" s="150" t="s">
        <v>1555</v>
      </c>
      <c r="E470" s="152" t="s">
        <v>1547</v>
      </c>
      <c r="F470" s="152"/>
      <c r="G470" s="152"/>
      <c r="H470" s="152"/>
      <c r="I470" s="663">
        <v>0.75</v>
      </c>
      <c r="J470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15</v>
      </c>
      <c r="K470" s="631">
        <f>Таблица7[[#This Row],[Размер отряда минимум]]*1.25</f>
        <v>18.75</v>
      </c>
      <c r="L470" s="631">
        <f>Таблица7[[#This Row],[Размер отряда норма]]*1.5</f>
        <v>28.125</v>
      </c>
      <c r="M470" s="633">
        <f>Таблица7[[#This Row],[Размер отряда минимум]]*2.5</f>
        <v>37.5</v>
      </c>
      <c r="N470" s="633"/>
      <c r="O470" s="633"/>
      <c r="P470" s="633"/>
      <c r="Q470" s="633"/>
      <c r="R470" s="152" t="s">
        <v>1135</v>
      </c>
      <c r="S470" s="824" t="s">
        <v>2072</v>
      </c>
      <c r="T470" s="152" t="s">
        <v>975</v>
      </c>
      <c r="U470" s="908" t="s">
        <v>2652</v>
      </c>
      <c r="V470" s="153"/>
      <c r="W470" s="152" t="s">
        <v>1001</v>
      </c>
      <c r="X470" s="152" t="s">
        <v>1528</v>
      </c>
      <c r="Y470" s="152"/>
      <c r="Z470" s="152" t="s">
        <v>1512</v>
      </c>
      <c r="AA470" s="152"/>
      <c r="AB470" s="152"/>
      <c r="AC470" s="152"/>
      <c r="AD470" s="193" t="s">
        <v>1002</v>
      </c>
      <c r="AE470" s="193"/>
      <c r="AF470" s="152" t="s">
        <v>985</v>
      </c>
      <c r="AG470" s="152"/>
      <c r="AH470" s="152" t="s">
        <v>985</v>
      </c>
      <c r="AI470" s="152"/>
      <c r="AJ470" s="152" t="s">
        <v>1004</v>
      </c>
      <c r="AK470" s="152"/>
      <c r="AL470" s="210" t="s">
        <v>1163</v>
      </c>
      <c r="AM470" s="152" t="s">
        <v>1136</v>
      </c>
      <c r="AN470" s="152" t="s">
        <v>1136</v>
      </c>
      <c r="AO470" s="824" t="s">
        <v>2072</v>
      </c>
      <c r="AP470" s="152" t="s">
        <v>1153</v>
      </c>
      <c r="AQ470" s="152"/>
      <c r="AS470" s="151">
        <v>1500</v>
      </c>
      <c r="AT470" s="154">
        <v>1550</v>
      </c>
      <c r="AU470" s="405">
        <v>8</v>
      </c>
      <c r="AV470" s="405"/>
      <c r="AW470" s="405">
        <f>VLOOKUP(Таблица7[[#This Row],[Основное оружие]], Оружие[#All], 2, 0)</f>
        <v>2</v>
      </c>
      <c r="AX470" s="405">
        <f>IF(ISBLANK(Таблица7[[#This Row],[Дополнительное оружие]]),"", VLOOKUP(Таблица7[[#This Row],[Дополнительное оружие]], Оружие[#All], 2, 0))</f>
        <v>4</v>
      </c>
      <c r="AY47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7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470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70" s="405">
        <f>VLOOKUP(Таблица7[[#This Row],[Основное оружие]], Оружие[#All], 3, 0)</f>
        <v>6</v>
      </c>
      <c r="BC470" s="405">
        <f>IF(ISBLANK(Таблица7[[#This Row],[Дополнительное оружие]]),"", VLOOKUP(Таблица7[[#This Row],[Дополнительное оружие]], Оружие[#All], 3, 0))</f>
        <v>6</v>
      </c>
      <c r="BD47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20</v>
      </c>
      <c r="BE47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7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70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47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7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70" s="405">
        <f>Таблица7[[#This Row],[Броня]]+Таблица7[[#This Row],[Щит]]+Таблица7[[#This Row],[навык защиты]]</f>
        <v>25</v>
      </c>
      <c r="BK470" s="1006"/>
      <c r="BL470" s="1006"/>
      <c r="BM470" s="400"/>
      <c r="BN470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70" s="400">
        <v>2</v>
      </c>
      <c r="BP470" s="399">
        <v>-2</v>
      </c>
      <c r="BQ470" s="399">
        <v>0</v>
      </c>
      <c r="BR470" s="399">
        <v>-4</v>
      </c>
      <c r="BS470" s="399">
        <v>-2</v>
      </c>
      <c r="BT470" s="400">
        <v>9</v>
      </c>
      <c r="BU470" s="1002" t="s">
        <v>1840</v>
      </c>
      <c r="BV470" s="1002" t="s">
        <v>1844</v>
      </c>
      <c r="BW470" s="400"/>
      <c r="BX470" s="400"/>
      <c r="BY470" s="400"/>
      <c r="BZ470" s="155"/>
    </row>
    <row r="471" spans="1:78" s="151" customFormat="1" ht="40.5" customHeight="1" x14ac:dyDescent="0.25">
      <c r="A471" s="333">
        <v>470</v>
      </c>
      <c r="B471" s="150" t="s">
        <v>1518</v>
      </c>
      <c r="C471" s="150"/>
      <c r="D471" s="152" t="s">
        <v>1556</v>
      </c>
      <c r="E471" s="262" t="s">
        <v>1546</v>
      </c>
      <c r="F471" s="262"/>
      <c r="G471" s="262"/>
      <c r="H471" s="262"/>
      <c r="I471" s="663">
        <v>0.75</v>
      </c>
      <c r="J471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71" s="631">
        <f>Таблица7[[#This Row],[Размер отряда минимум]]*1.25</f>
        <v>93.75</v>
      </c>
      <c r="L471" s="631">
        <f>Таблица7[[#This Row],[Размер отряда норма]]*1.5</f>
        <v>140.625</v>
      </c>
      <c r="M471" s="633">
        <f>Таблица7[[#This Row],[Размер отряда минимум]]*2.5</f>
        <v>187.5</v>
      </c>
      <c r="N471" s="633"/>
      <c r="O471" s="633"/>
      <c r="P471" s="633"/>
      <c r="Q471" s="633"/>
      <c r="R471" s="152" t="s">
        <v>1135</v>
      </c>
      <c r="S471" s="824" t="s">
        <v>2072</v>
      </c>
      <c r="T471" s="152" t="s">
        <v>976</v>
      </c>
      <c r="U471" s="908" t="s">
        <v>2653</v>
      </c>
      <c r="V471" s="153"/>
      <c r="W471" s="152" t="s">
        <v>1001</v>
      </c>
      <c r="X471" s="350" t="s">
        <v>1036</v>
      </c>
      <c r="Y471" s="350"/>
      <c r="Z471" s="350"/>
      <c r="AA471" s="350"/>
      <c r="AB471" s="350" t="s">
        <v>1458</v>
      </c>
      <c r="AC471" s="350"/>
      <c r="AD471" s="193" t="s">
        <v>985</v>
      </c>
      <c r="AE471" s="193"/>
      <c r="AF471" s="152" t="s">
        <v>1155</v>
      </c>
      <c r="AG471" s="152"/>
      <c r="AH471" s="152" t="s">
        <v>985</v>
      </c>
      <c r="AI471" s="152"/>
      <c r="AJ471" s="193" t="s">
        <v>985</v>
      </c>
      <c r="AK471" s="193"/>
      <c r="AL471" s="210" t="s">
        <v>985</v>
      </c>
      <c r="AM471" s="152" t="s">
        <v>1136</v>
      </c>
      <c r="AN471" s="152" t="s">
        <v>1136</v>
      </c>
      <c r="AO471" s="824" t="s">
        <v>2072</v>
      </c>
      <c r="AP471" s="152" t="s">
        <v>1154</v>
      </c>
      <c r="AQ471" s="152"/>
      <c r="AS471" s="151">
        <v>1550</v>
      </c>
      <c r="AT471" s="154"/>
      <c r="AU471" s="405">
        <v>4</v>
      </c>
      <c r="AV471" s="405"/>
      <c r="AW471" s="405">
        <f>VLOOKUP(Таблица7[[#This Row],[Основное оружие]], Оружие[#All], 2, 0)</f>
        <v>5</v>
      </c>
      <c r="AX471" s="405" t="str">
        <f>IF(ISBLANK(Таблица7[[#This Row],[Дополнительное оружие]]),"", VLOOKUP(Таблица7[[#This Row],[Дополнительное оружие]], Оружие[#All], 2, 0))</f>
        <v/>
      </c>
      <c r="AY47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0)+1</f>
        <v>7</v>
      </c>
      <c r="AZ47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12</v>
      </c>
      <c r="BA47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71" s="405">
        <f>VLOOKUP(Таблица7[[#This Row],[Основное оружие]], Оружие[#All], 3, 0)+2</f>
        <v>5</v>
      </c>
      <c r="BC471" s="405" t="str">
        <f>IF(ISBLANK(Таблица7[[#This Row],[Дополнительное оружие]]),"", VLOOKUP(Таблица7[[#This Row],[Дополнительное оружие]], Оружие[#All], 3, 0))</f>
        <v/>
      </c>
      <c r="BD47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71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</v>
      </c>
      <c r="BF47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71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0)-1</f>
        <v>4</v>
      </c>
      <c r="BI47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2</v>
      </c>
      <c r="BJ471" s="405">
        <f>Таблица7[[#This Row],[Броня]]+Таблица7[[#This Row],[Щит]]+Таблица7[[#This Row],[навык защиты]]</f>
        <v>7</v>
      </c>
      <c r="BK471" s="1008" t="s">
        <v>1588</v>
      </c>
      <c r="BL471" s="1008" t="s">
        <v>1584</v>
      </c>
      <c r="BM471" s="400"/>
      <c r="BN471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1" s="400">
        <v>3</v>
      </c>
      <c r="BP471" s="400">
        <v>1</v>
      </c>
      <c r="BQ471" s="400">
        <v>-2</v>
      </c>
      <c r="BR471" s="400">
        <v>2</v>
      </c>
      <c r="BS471" s="400">
        <v>2</v>
      </c>
      <c r="BT471" s="400">
        <v>8</v>
      </c>
      <c r="BU471" s="1002" t="s">
        <v>1841</v>
      </c>
      <c r="BV471" s="1002" t="s">
        <v>1842</v>
      </c>
      <c r="BW471" s="400"/>
      <c r="BX471" s="400"/>
      <c r="BY471" s="400"/>
      <c r="BZ471" s="155"/>
    </row>
    <row r="472" spans="1:78" s="151" customFormat="1" ht="40.5" customHeight="1" x14ac:dyDescent="0.25">
      <c r="A472" s="333">
        <v>471</v>
      </c>
      <c r="B472" s="150" t="s">
        <v>1418</v>
      </c>
      <c r="C472" s="150"/>
      <c r="D472" s="152" t="s">
        <v>1556</v>
      </c>
      <c r="E472" s="327" t="s">
        <v>1560</v>
      </c>
      <c r="F472" s="327"/>
      <c r="G472" s="327"/>
      <c r="H472" s="327"/>
      <c r="I472" s="663">
        <v>0.8</v>
      </c>
      <c r="J472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472" s="631">
        <f>Таблица7[[#This Row],[Размер отряда минимум]]*1.25</f>
        <v>100</v>
      </c>
      <c r="L472" s="631">
        <f>Таблица7[[#This Row],[Размер отряда норма]]*1.5</f>
        <v>150</v>
      </c>
      <c r="M472" s="633">
        <f>Таблица7[[#This Row],[Размер отряда минимум]]*2.5</f>
        <v>200</v>
      </c>
      <c r="N472" s="633"/>
      <c r="O472" s="633"/>
      <c r="P472" s="633"/>
      <c r="Q472" s="633"/>
      <c r="R472" s="152" t="s">
        <v>1135</v>
      </c>
      <c r="S472" s="824" t="s">
        <v>2072</v>
      </c>
      <c r="T472" s="152" t="s">
        <v>976</v>
      </c>
      <c r="U472" s="908" t="s">
        <v>2654</v>
      </c>
      <c r="V472" s="153"/>
      <c r="W472" s="152" t="s">
        <v>993</v>
      </c>
      <c r="X472" s="152" t="s">
        <v>994</v>
      </c>
      <c r="Y472" s="152"/>
      <c r="Z472" s="152"/>
      <c r="AA472" s="152"/>
      <c r="AB472" s="152"/>
      <c r="AC472" s="152"/>
      <c r="AD472" s="193" t="s">
        <v>985</v>
      </c>
      <c r="AE472" s="193"/>
      <c r="AF472" s="152" t="s">
        <v>985</v>
      </c>
      <c r="AG472" s="152"/>
      <c r="AH472" s="152" t="s">
        <v>985</v>
      </c>
      <c r="AI472" s="152"/>
      <c r="AJ472" s="193" t="s">
        <v>985</v>
      </c>
      <c r="AK472" s="193"/>
      <c r="AL472" s="210" t="s">
        <v>985</v>
      </c>
      <c r="AM472" s="152" t="s">
        <v>1136</v>
      </c>
      <c r="AN472" s="152" t="s">
        <v>1136</v>
      </c>
      <c r="AO472" s="824" t="s">
        <v>2072</v>
      </c>
      <c r="AP472" s="152" t="s">
        <v>1154</v>
      </c>
      <c r="AQ472" s="152"/>
      <c r="AS472" s="151">
        <v>1550</v>
      </c>
      <c r="AT472" s="154"/>
      <c r="AU472" s="405">
        <v>4</v>
      </c>
      <c r="AV472" s="405"/>
      <c r="AW472" s="405">
        <f>VLOOKUP(Таблица7[[#This Row],[Основное оружие]], Оружие[#All], 2, 0)</f>
        <v>1</v>
      </c>
      <c r="AX472" s="405" t="str">
        <f>IF(ISBLANK(Таблица7[[#This Row],[Дополнительное оружие]]),"", VLOOKUP(Таблица7[[#This Row],[Дополнительное оружие]], Оружие[#All], 2, 0))</f>
        <v/>
      </c>
      <c r="AY47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0)+1</f>
        <v>5</v>
      </c>
      <c r="AZ47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472" s="70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72" s="405">
        <f>VLOOKUP(Таблица7[[#This Row],[Основное оружие]], Оружие[#All], 3, 0)</f>
        <v>1</v>
      </c>
      <c r="BC472" s="405" t="str">
        <f>IF(ISBLANK(Таблица7[[#This Row],[Дополнительное оружие]]),"", VLOOKUP(Таблица7[[#This Row],[Дополнительное оружие]], Оружие[#All], 3, 0))</f>
        <v/>
      </c>
      <c r="BD47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72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7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7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0)-1</f>
        <v>2</v>
      </c>
      <c r="BI47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72" s="405">
        <f>Таблица7[[#This Row],[Броня]]+Таблица7[[#This Row],[Щит]]+Таблица7[[#This Row],[навык защиты]]</f>
        <v>3</v>
      </c>
      <c r="BK472" s="1006"/>
      <c r="BL472" s="1008" t="s">
        <v>1584</v>
      </c>
      <c r="BM472" s="400"/>
      <c r="BN472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2" s="400">
        <v>3</v>
      </c>
      <c r="BP472" s="400">
        <v>-1</v>
      </c>
      <c r="BQ472" s="550">
        <v>-2</v>
      </c>
      <c r="BR472" s="400">
        <v>-2</v>
      </c>
      <c r="BS472" s="400">
        <v>2</v>
      </c>
      <c r="BT472" s="400">
        <v>8</v>
      </c>
      <c r="BU472" s="1002" t="s">
        <v>1841</v>
      </c>
      <c r="BV472" s="1002" t="s">
        <v>1843</v>
      </c>
      <c r="BW472" s="400"/>
      <c r="BX472" s="400"/>
      <c r="BY472" s="400"/>
      <c r="BZ472" s="155"/>
    </row>
    <row r="473" spans="1:78" s="151" customFormat="1" ht="40.5" customHeight="1" x14ac:dyDescent="0.25">
      <c r="A473" s="333">
        <v>472</v>
      </c>
      <c r="B473" s="150" t="s">
        <v>1419</v>
      </c>
      <c r="C473" s="150"/>
      <c r="D473" s="152" t="s">
        <v>1556</v>
      </c>
      <c r="E473" s="262" t="s">
        <v>1546</v>
      </c>
      <c r="F473" s="262"/>
      <c r="G473" s="262"/>
      <c r="H473" s="262"/>
      <c r="I473" s="663">
        <v>0.75</v>
      </c>
      <c r="J473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473" s="631">
        <f>Таблица7[[#This Row],[Размер отряда минимум]]*1.25</f>
        <v>84.375</v>
      </c>
      <c r="L473" s="631">
        <f>Таблица7[[#This Row],[Размер отряда норма]]*1.5</f>
        <v>126.5625</v>
      </c>
      <c r="M473" s="633">
        <f>Таблица7[[#This Row],[Размер отряда минимум]]*2.5</f>
        <v>168.75</v>
      </c>
      <c r="N473" s="633"/>
      <c r="O473" s="633"/>
      <c r="P473" s="633"/>
      <c r="Q473" s="633"/>
      <c r="R473" s="152" t="s">
        <v>1135</v>
      </c>
      <c r="S473" s="824" t="s">
        <v>2072</v>
      </c>
      <c r="T473" s="152" t="s">
        <v>975</v>
      </c>
      <c r="U473" s="908" t="s">
        <v>2655</v>
      </c>
      <c r="V473" s="153"/>
      <c r="W473" s="152" t="s">
        <v>1001</v>
      </c>
      <c r="X473" s="152" t="s">
        <v>1152</v>
      </c>
      <c r="Y473" s="152"/>
      <c r="Z473" s="152"/>
      <c r="AA473" s="152"/>
      <c r="AB473" s="152"/>
      <c r="AC473" s="152"/>
      <c r="AD473" s="193" t="s">
        <v>985</v>
      </c>
      <c r="AE473" s="193"/>
      <c r="AF473" s="152" t="s">
        <v>1155</v>
      </c>
      <c r="AG473" s="152"/>
      <c r="AH473" s="152" t="s">
        <v>985</v>
      </c>
      <c r="AI473" s="152"/>
      <c r="AJ473" s="193" t="s">
        <v>985</v>
      </c>
      <c r="AK473" s="193"/>
      <c r="AL473" s="210" t="s">
        <v>985</v>
      </c>
      <c r="AM473" s="152" t="s">
        <v>1136</v>
      </c>
      <c r="AN473" s="152" t="s">
        <v>1136</v>
      </c>
      <c r="AO473" s="824" t="s">
        <v>2072</v>
      </c>
      <c r="AP473" s="152" t="s">
        <v>1154</v>
      </c>
      <c r="AQ473" s="152"/>
      <c r="AS473" s="151">
        <v>1500</v>
      </c>
      <c r="AT473" s="154">
        <v>1550</v>
      </c>
      <c r="AU473" s="405">
        <v>4</v>
      </c>
      <c r="AV473" s="405"/>
      <c r="AW473" s="405">
        <f>VLOOKUP(Таблица7[[#This Row],[Основное оружие]], Оружие[#All], 2, 0)</f>
        <v>8</v>
      </c>
      <c r="AX473" s="405" t="str">
        <f>IF(ISBLANK(Таблица7[[#This Row],[Дополнительное оружие]]),"", VLOOKUP(Таблица7[[#This Row],[Дополнительное оружие]], Оружие[#All], 2, 0))</f>
        <v/>
      </c>
      <c r="AY47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0)-1</f>
        <v>5</v>
      </c>
      <c r="AZ47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473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73" s="405">
        <f>VLOOKUP(Таблица7[[#This Row],[Основное оружие]], Оружие[#All], 3, 0)</f>
        <v>8</v>
      </c>
      <c r="BC473" s="405" t="str">
        <f>IF(ISBLANK(Таблица7[[#This Row],[Дополнительное оружие]]),"", VLOOKUP(Таблица7[[#This Row],[Дополнительное оружие]], Оружие[#All], 3, 0))</f>
        <v/>
      </c>
      <c r="BD47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7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</v>
      </c>
      <c r="BF47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7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0)+1</f>
        <v>6</v>
      </c>
      <c r="BI47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73" s="405">
        <f>Таблица7[[#This Row],[Броня]]+Таблица7[[#This Row],[Щит]]+Таблица7[[#This Row],[навык защиты]]</f>
        <v>7</v>
      </c>
      <c r="BK473" s="1006"/>
      <c r="BL473" s="1008" t="s">
        <v>1586</v>
      </c>
      <c r="BM473" s="400"/>
      <c r="BN473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3" s="400">
        <v>3</v>
      </c>
      <c r="BP473" s="400">
        <v>0</v>
      </c>
      <c r="BQ473" s="400">
        <v>-2</v>
      </c>
      <c r="BR473" s="400">
        <v>0</v>
      </c>
      <c r="BS473" s="400">
        <v>2</v>
      </c>
      <c r="BT473" s="400">
        <v>8</v>
      </c>
      <c r="BU473" s="1002" t="s">
        <v>1576</v>
      </c>
      <c r="BV473" s="1002" t="s">
        <v>1842</v>
      </c>
      <c r="BW473" s="400"/>
      <c r="BX473" s="400"/>
      <c r="BY473" s="400"/>
      <c r="BZ473" s="155"/>
    </row>
    <row r="474" spans="1:78" s="151" customFormat="1" ht="40.5" customHeight="1" x14ac:dyDescent="0.25">
      <c r="A474" s="333">
        <v>473</v>
      </c>
      <c r="B474" s="340" t="s">
        <v>1659</v>
      </c>
      <c r="C474" s="340"/>
      <c r="D474" s="152" t="s">
        <v>1556</v>
      </c>
      <c r="E474" s="152" t="s">
        <v>1558</v>
      </c>
      <c r="F474" s="152"/>
      <c r="G474" s="152"/>
      <c r="H474" s="152"/>
      <c r="I474" s="663">
        <v>0.75</v>
      </c>
      <c r="J474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74" s="631">
        <f>Таблица7[[#This Row],[Размер отряда минимум]]*1.25</f>
        <v>93.75</v>
      </c>
      <c r="L474" s="631">
        <f>Таблица7[[#This Row],[Размер отряда норма]]*1.5</f>
        <v>140.625</v>
      </c>
      <c r="M474" s="631">
        <f>Таблица7[[#This Row],[Размер отряда минимум]]*2.5</f>
        <v>187.5</v>
      </c>
      <c r="N474" s="631"/>
      <c r="O474" s="631"/>
      <c r="P474" s="631"/>
      <c r="Q474" s="631"/>
      <c r="R474" s="706" t="s">
        <v>1135</v>
      </c>
      <c r="S474" s="824" t="s">
        <v>2072</v>
      </c>
      <c r="T474" s="193" t="s">
        <v>1032</v>
      </c>
      <c r="U474" s="908" t="s">
        <v>2656</v>
      </c>
      <c r="V474" s="528"/>
      <c r="W474" s="193" t="s">
        <v>984</v>
      </c>
      <c r="X474" s="193" t="s">
        <v>1152</v>
      </c>
      <c r="Y474" s="193"/>
      <c r="Z474" s="193"/>
      <c r="AA474" s="193"/>
      <c r="AB474" s="193"/>
      <c r="AC474" s="193"/>
      <c r="AD474" s="193" t="s">
        <v>985</v>
      </c>
      <c r="AE474" s="193"/>
      <c r="AF474" s="193" t="s">
        <v>991</v>
      </c>
      <c r="AG474" s="193"/>
      <c r="AH474" s="193" t="s">
        <v>1211</v>
      </c>
      <c r="AI474" s="193"/>
      <c r="AJ474" s="193" t="s">
        <v>985</v>
      </c>
      <c r="AK474" s="193"/>
      <c r="AL474" s="210" t="s">
        <v>985</v>
      </c>
      <c r="AM474" s="193" t="s">
        <v>1136</v>
      </c>
      <c r="AN474" s="193" t="s">
        <v>1136</v>
      </c>
      <c r="AO474" s="824" t="s">
        <v>2072</v>
      </c>
      <c r="AP474" s="193" t="s">
        <v>1154</v>
      </c>
      <c r="AQ474" s="193"/>
      <c r="AR474" s="339"/>
      <c r="AS474" s="339">
        <v>1500</v>
      </c>
      <c r="AT474" s="154"/>
      <c r="AU474" s="406">
        <v>4</v>
      </c>
      <c r="AV474" s="405"/>
      <c r="AW474" s="405">
        <f>VLOOKUP(Таблица7[[#This Row],[Основное оружие]], Оружие[#All], 2, 0)</f>
        <v>8</v>
      </c>
      <c r="AX474" s="405" t="str">
        <f>IF(ISBLANK(Таблица7[[#This Row],[Дополнительное оружие]]),"", VLOOKUP(Таблица7[[#This Row],[Дополнительное оружие]], Оружие[#All], 2, 0))</f>
        <v/>
      </c>
      <c r="AY47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7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13</v>
      </c>
      <c r="BA474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74" s="405">
        <f>VLOOKUP(Таблица7[[#This Row],[Основное оружие]], Оружие[#All], 3, 0)</f>
        <v>8</v>
      </c>
      <c r="BC474" s="405" t="str">
        <f>IF(ISBLANK(Таблица7[[#This Row],[Дополнительное оружие]]),"", VLOOKUP(Таблица7[[#This Row],[Дополнительное оружие]], Оружие[#All], 3, 0))</f>
        <v/>
      </c>
      <c r="BD47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7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74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15</v>
      </c>
      <c r="BG47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7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74" s="405">
        <f>Таблица7[[#This Row],[Броня]]+Таблица7[[#This Row],[Щит]]+Таблица7[[#This Row],[навык защиты]]</f>
        <v>6</v>
      </c>
      <c r="BK474" s="1006"/>
      <c r="BL474" s="1006"/>
      <c r="BM474" s="401"/>
      <c r="BN474" s="1003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4" s="401">
        <v>2</v>
      </c>
      <c r="BP474" s="401">
        <v>0</v>
      </c>
      <c r="BQ474" s="401">
        <v>-1</v>
      </c>
      <c r="BR474" s="401">
        <v>0</v>
      </c>
      <c r="BS474" s="401">
        <v>1</v>
      </c>
      <c r="BT474" s="401">
        <v>8</v>
      </c>
      <c r="BU474" s="1003" t="s">
        <v>1839</v>
      </c>
      <c r="BV474" s="1003" t="s">
        <v>1842</v>
      </c>
      <c r="BW474" s="401"/>
      <c r="BX474" s="401"/>
      <c r="BY474" s="401"/>
      <c r="BZ474" s="155"/>
    </row>
    <row r="475" spans="1:78" s="151" customFormat="1" ht="40.5" customHeight="1" x14ac:dyDescent="0.25">
      <c r="A475" s="333">
        <v>474</v>
      </c>
      <c r="B475" s="340" t="s">
        <v>1660</v>
      </c>
      <c r="C475" s="340"/>
      <c r="D475" s="152" t="s">
        <v>1556</v>
      </c>
      <c r="E475" s="152" t="s">
        <v>1558</v>
      </c>
      <c r="F475" s="152"/>
      <c r="G475" s="152"/>
      <c r="H475" s="152"/>
      <c r="I475" s="663">
        <v>0.75</v>
      </c>
      <c r="J475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75" s="631">
        <f>Таблица7[[#This Row],[Размер отряда минимум]]*1.25</f>
        <v>93.75</v>
      </c>
      <c r="L475" s="631">
        <f>Таблица7[[#This Row],[Размер отряда норма]]*1.5</f>
        <v>140.625</v>
      </c>
      <c r="M475" s="633">
        <f>Таблица7[[#This Row],[Размер отряда минимум]]*2.5</f>
        <v>187.5</v>
      </c>
      <c r="N475" s="633"/>
      <c r="O475" s="633"/>
      <c r="P475" s="633"/>
      <c r="Q475" s="633"/>
      <c r="R475" s="706" t="s">
        <v>1135</v>
      </c>
      <c r="S475" s="824" t="s">
        <v>2072</v>
      </c>
      <c r="T475" s="152" t="s">
        <v>1032</v>
      </c>
      <c r="U475" s="908" t="s">
        <v>2657</v>
      </c>
      <c r="V475" s="528"/>
      <c r="W475" s="152" t="s">
        <v>984</v>
      </c>
      <c r="X475" s="437" t="s">
        <v>1063</v>
      </c>
      <c r="Y475" s="437"/>
      <c r="Z475" s="152"/>
      <c r="AA475" s="152"/>
      <c r="AB475" s="152"/>
      <c r="AC475" s="152"/>
      <c r="AD475" s="193" t="s">
        <v>985</v>
      </c>
      <c r="AE475" s="193"/>
      <c r="AF475" s="152" t="s">
        <v>991</v>
      </c>
      <c r="AG475" s="152"/>
      <c r="AH475" s="152" t="s">
        <v>1211</v>
      </c>
      <c r="AI475" s="152"/>
      <c r="AJ475" s="193" t="s">
        <v>985</v>
      </c>
      <c r="AK475" s="193"/>
      <c r="AL475" s="210" t="s">
        <v>985</v>
      </c>
      <c r="AM475" s="152" t="s">
        <v>1136</v>
      </c>
      <c r="AN475" s="152" t="s">
        <v>1136</v>
      </c>
      <c r="AO475" s="824" t="s">
        <v>2072</v>
      </c>
      <c r="AP475" s="152" t="s">
        <v>1154</v>
      </c>
      <c r="AQ475" s="152"/>
      <c r="AS475" s="151">
        <v>1500</v>
      </c>
      <c r="AT475" s="154"/>
      <c r="AU475" s="405">
        <v>4</v>
      </c>
      <c r="AV475" s="405"/>
      <c r="AW475" s="405">
        <f>VLOOKUP(Таблица7[[#This Row],[Основное оружие]], Оружие[#All], 2, 0)</f>
        <v>5</v>
      </c>
      <c r="AX475" s="405" t="str">
        <f>IF(ISBLANK(Таблица7[[#This Row],[Дополнительное оружие]]),"", VLOOKUP(Таблица7[[#This Row],[Дополнительное оружие]], Оружие[#All], 2, 0))</f>
        <v/>
      </c>
      <c r="AY47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7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10</v>
      </c>
      <c r="BA47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75" s="405">
        <f>VLOOKUP(Таблица7[[#This Row],[Основное оружие]], Оружие[#All], 3, 0)</f>
        <v>8</v>
      </c>
      <c r="BC475" s="405" t="str">
        <f>IF(ISBLANK(Таблица7[[#This Row],[Дополнительное оружие]]),"", VLOOKUP(Таблица7[[#This Row],[Дополнительное оружие]], Оружие[#All], 3, 0))</f>
        <v/>
      </c>
      <c r="BD47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7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75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15</v>
      </c>
      <c r="BG475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7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75" s="405">
        <f>Таблица7[[#This Row],[Броня]]+Таблица7[[#This Row],[Щит]]+Таблица7[[#This Row],[навык защиты]]</f>
        <v>6</v>
      </c>
      <c r="BK475" s="1006"/>
      <c r="BL475" s="1006"/>
      <c r="BM475" s="400"/>
      <c r="BN475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5" s="400">
        <v>2</v>
      </c>
      <c r="BP475" s="400">
        <v>0</v>
      </c>
      <c r="BQ475" s="400">
        <v>-1</v>
      </c>
      <c r="BR475" s="400">
        <v>0</v>
      </c>
      <c r="BS475" s="400">
        <v>1</v>
      </c>
      <c r="BT475" s="400">
        <v>8</v>
      </c>
      <c r="BU475" s="1003" t="s">
        <v>1839</v>
      </c>
      <c r="BV475" s="1003" t="s">
        <v>1842</v>
      </c>
      <c r="BW475" s="400"/>
      <c r="BX475" s="400"/>
      <c r="BY475" s="400"/>
      <c r="BZ475" s="155"/>
    </row>
    <row r="476" spans="1:78" s="123" customFormat="1" ht="40.5" customHeight="1" x14ac:dyDescent="0.25">
      <c r="A476" s="333">
        <v>475</v>
      </c>
      <c r="B476" s="150" t="s">
        <v>1661</v>
      </c>
      <c r="C476" s="150"/>
      <c r="D476" s="152" t="s">
        <v>1556</v>
      </c>
      <c r="E476" s="152" t="s">
        <v>1558</v>
      </c>
      <c r="F476" s="152"/>
      <c r="G476" s="152"/>
      <c r="H476" s="152"/>
      <c r="I476" s="663">
        <v>0.75</v>
      </c>
      <c r="J476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76" s="631">
        <f>Таблица7[[#This Row],[Размер отряда минимум]]*1.25</f>
        <v>93.75</v>
      </c>
      <c r="L476" s="631">
        <f>Таблица7[[#This Row],[Размер отряда норма]]*1.5</f>
        <v>140.625</v>
      </c>
      <c r="M476" s="633">
        <f>Таблица7[[#This Row],[Размер отряда минимум]]*2.5</f>
        <v>187.5</v>
      </c>
      <c r="N476" s="633"/>
      <c r="O476" s="633"/>
      <c r="P476" s="633"/>
      <c r="Q476" s="633"/>
      <c r="R476" s="152" t="s">
        <v>1135</v>
      </c>
      <c r="S476" s="824" t="s">
        <v>2072</v>
      </c>
      <c r="T476" s="152" t="s">
        <v>1032</v>
      </c>
      <c r="U476" s="908" t="s">
        <v>2658</v>
      </c>
      <c r="V476" s="528"/>
      <c r="W476" s="152" t="s">
        <v>1001</v>
      </c>
      <c r="X476" s="152" t="s">
        <v>1664</v>
      </c>
      <c r="Y476" s="152"/>
      <c r="Z476" s="152"/>
      <c r="AA476" s="152"/>
      <c r="AB476" s="152"/>
      <c r="AC476" s="152"/>
      <c r="AD476" s="193" t="s">
        <v>985</v>
      </c>
      <c r="AE476" s="193"/>
      <c r="AF476" s="152" t="s">
        <v>1027</v>
      </c>
      <c r="AG476" s="152"/>
      <c r="AH476" s="152" t="s">
        <v>1202</v>
      </c>
      <c r="AI476" s="152"/>
      <c r="AJ476" s="193" t="s">
        <v>985</v>
      </c>
      <c r="AK476" s="193"/>
      <c r="AL476" s="210" t="s">
        <v>985</v>
      </c>
      <c r="AM476" s="152" t="s">
        <v>1136</v>
      </c>
      <c r="AN476" s="152" t="s">
        <v>1136</v>
      </c>
      <c r="AO476" s="824" t="s">
        <v>2072</v>
      </c>
      <c r="AP476" s="152" t="s">
        <v>1865</v>
      </c>
      <c r="AQ476" s="152"/>
      <c r="AR476" s="151"/>
      <c r="AS476" s="151">
        <v>1500</v>
      </c>
      <c r="AT476" s="154"/>
      <c r="AU476" s="405">
        <v>3</v>
      </c>
      <c r="AV476" s="405"/>
      <c r="AW476" s="405">
        <f>VLOOKUP(Таблица7[[#This Row],[Основное оружие]], Оружие[#All], 2, 0)</f>
        <v>5</v>
      </c>
      <c r="AX476" s="405" t="str">
        <f>IF(ISBLANK(Таблица7[[#This Row],[Дополнительное оружие]]),"", VLOOKUP(Таблица7[[#This Row],[Дополнительное оружие]], Оружие[#All], 2, 0))</f>
        <v/>
      </c>
      <c r="AY47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7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9</v>
      </c>
      <c r="BA476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76" s="405">
        <f>VLOOKUP(Таблица7[[#This Row],[Основное оружие]], Оружие[#All], 3, 0)</f>
        <v>8</v>
      </c>
      <c r="BC476" s="405" t="str">
        <f>IF(ISBLANK(Таблица7[[#This Row],[Дополнительное оружие]]),"", VLOOKUP(Таблица7[[#This Row],[Дополнительное оружие]], Оружие[#All], 3, 0))</f>
        <v/>
      </c>
      <c r="BD47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76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8</v>
      </c>
      <c r="BF476" s="405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10</v>
      </c>
      <c r="BG47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7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76" s="405">
        <f>Таблица7[[#This Row],[Броня]]+Таблица7[[#This Row],[Щит]]+Таблица7[[#This Row],[навык защиты]]</f>
        <v>5</v>
      </c>
      <c r="BK476" s="1008"/>
      <c r="BL476" s="1006"/>
      <c r="BM476" s="400"/>
      <c r="BN476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6" s="400">
        <v>2</v>
      </c>
      <c r="BP476" s="400">
        <v>0</v>
      </c>
      <c r="BQ476" s="400">
        <v>-1</v>
      </c>
      <c r="BR476" s="400">
        <v>0</v>
      </c>
      <c r="BS476" s="400">
        <v>1</v>
      </c>
      <c r="BT476" s="400">
        <v>5</v>
      </c>
      <c r="BU476" s="1002" t="s">
        <v>1839</v>
      </c>
      <c r="BV476" s="1002" t="s">
        <v>1842</v>
      </c>
      <c r="BW476" s="400"/>
      <c r="BX476" s="400"/>
      <c r="BY476" s="400"/>
      <c r="BZ476" s="124"/>
    </row>
    <row r="477" spans="1:78" s="151" customFormat="1" ht="40.5" customHeight="1" x14ac:dyDescent="0.25">
      <c r="A477" s="333">
        <v>476</v>
      </c>
      <c r="B477" s="150" t="s">
        <v>1823</v>
      </c>
      <c r="C477" s="150" t="s">
        <v>2692</v>
      </c>
      <c r="D477" s="152" t="s">
        <v>1556</v>
      </c>
      <c r="E477" s="152" t="s">
        <v>1547</v>
      </c>
      <c r="F477" s="152"/>
      <c r="G477" s="152"/>
      <c r="H477" s="152"/>
      <c r="I477" s="663">
        <v>0.11</v>
      </c>
      <c r="J477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9.9</v>
      </c>
      <c r="K477" s="631">
        <f>Таблица7[[#This Row],[Размер отряда минимум]]*1.25</f>
        <v>12.375</v>
      </c>
      <c r="L477" s="631">
        <f>Таблица7[[#This Row],[Размер отряда норма]]*1.5</f>
        <v>18.5625</v>
      </c>
      <c r="M477" s="633">
        <f>Таблица7[[#This Row],[Размер отряда минимум]]*2.5</f>
        <v>24.75</v>
      </c>
      <c r="N477" s="633"/>
      <c r="O477" s="633"/>
      <c r="P477" s="633"/>
      <c r="Q477" s="633"/>
      <c r="R477" s="152" t="s">
        <v>1135</v>
      </c>
      <c r="S477" s="824" t="s">
        <v>2072</v>
      </c>
      <c r="T477" s="152" t="s">
        <v>1032</v>
      </c>
      <c r="U477" s="908" t="s">
        <v>2659</v>
      </c>
      <c r="V477" s="910" t="s">
        <v>2693</v>
      </c>
      <c r="W477" s="259" t="s">
        <v>984</v>
      </c>
      <c r="X477" s="152" t="s">
        <v>1156</v>
      </c>
      <c r="Y477" s="152" t="s">
        <v>1927</v>
      </c>
      <c r="Z477" s="152"/>
      <c r="AA477" s="152"/>
      <c r="AB477" s="152"/>
      <c r="AC477" s="152"/>
      <c r="AD477" s="193" t="s">
        <v>1164</v>
      </c>
      <c r="AE477" s="193" t="s">
        <v>2694</v>
      </c>
      <c r="AF477" s="152" t="s">
        <v>985</v>
      </c>
      <c r="AG477" s="152"/>
      <c r="AH477" s="152" t="s">
        <v>985</v>
      </c>
      <c r="AI477" s="152"/>
      <c r="AJ477" s="193" t="s">
        <v>985</v>
      </c>
      <c r="AK477" s="193"/>
      <c r="AL477" s="210" t="s">
        <v>985</v>
      </c>
      <c r="AM477" s="152" t="s">
        <v>1136</v>
      </c>
      <c r="AN477" s="152" t="s">
        <v>1136</v>
      </c>
      <c r="AO477" s="824" t="s">
        <v>2072</v>
      </c>
      <c r="AP477" s="152" t="s">
        <v>1157</v>
      </c>
      <c r="AQ477" s="911" t="s">
        <v>2695</v>
      </c>
      <c r="AS477" s="151">
        <v>1500</v>
      </c>
      <c r="AT477" s="154"/>
      <c r="AU477" s="405">
        <v>10</v>
      </c>
      <c r="AV477" s="405"/>
      <c r="AW477" s="405">
        <f>VLOOKUP(Таблица7[[#This Row],[Основное оружие]], Оружие[#All], 2, 0)</f>
        <v>8</v>
      </c>
      <c r="AX477" s="405" t="str">
        <f>IF(ISBLANK(Таблица7[[#This Row],[Дополнительное оружие]]),"", VLOOKUP(Таблица7[[#This Row],[Дополнительное оружие]], Оружие[#All], 2, 0))</f>
        <v/>
      </c>
      <c r="AY477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9</v>
      </c>
      <c r="AZ477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17</v>
      </c>
      <c r="BA477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77" s="405">
        <f>VLOOKUP(Таблица7[[#This Row],[Основное оружие]], Оружие[#All], 3, 0)</f>
        <v>8</v>
      </c>
      <c r="BC477" s="405" t="str">
        <f>IF(ISBLANK(Таблица7[[#This Row],[Дополнительное оружие]]),"", VLOOKUP(Таблица7[[#This Row],[Дополнительное оружие]], Оружие[#All], 3, 0))</f>
        <v/>
      </c>
      <c r="BD477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21</v>
      </c>
      <c r="BE477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77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77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7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9</v>
      </c>
      <c r="BI477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77" s="405">
        <f>Таблица7[[#This Row],[Броня]]+Таблица7[[#This Row],[Щит]]+Таблица7[[#This Row],[навык защиты]]</f>
        <v>30</v>
      </c>
      <c r="BK477" s="1006"/>
      <c r="BL477" s="1006"/>
      <c r="BM477" s="400"/>
      <c r="BN477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7" s="400">
        <v>2</v>
      </c>
      <c r="BP477" s="400">
        <v>0</v>
      </c>
      <c r="BQ477" s="400">
        <v>-1</v>
      </c>
      <c r="BR477" s="400">
        <v>0</v>
      </c>
      <c r="BS477" s="400">
        <v>1</v>
      </c>
      <c r="BT477" s="400">
        <v>9</v>
      </c>
      <c r="BU477" s="1002" t="s">
        <v>1840</v>
      </c>
      <c r="BV477" s="1002" t="s">
        <v>1844</v>
      </c>
      <c r="BW477" s="400"/>
      <c r="BX477" s="400"/>
      <c r="BY477" s="400"/>
      <c r="BZ477" s="155"/>
    </row>
    <row r="478" spans="1:78" s="151" customFormat="1" ht="40.5" customHeight="1" x14ac:dyDescent="0.25">
      <c r="A478" s="333">
        <v>477</v>
      </c>
      <c r="B478" s="156" t="s">
        <v>1420</v>
      </c>
      <c r="C478" s="150"/>
      <c r="D478" s="152" t="s">
        <v>1556</v>
      </c>
      <c r="E478" s="152" t="s">
        <v>1448</v>
      </c>
      <c r="F478" s="152"/>
      <c r="G478" s="152"/>
      <c r="H478" s="152"/>
      <c r="I478" s="663">
        <v>0.11</v>
      </c>
      <c r="J478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9.9</v>
      </c>
      <c r="K478" s="631">
        <f>Таблица7[[#This Row],[Размер отряда минимум]]*1.25</f>
        <v>12.375</v>
      </c>
      <c r="L478" s="631">
        <f>Таблица7[[#This Row],[Размер отряда норма]]*1.5</f>
        <v>18.5625</v>
      </c>
      <c r="M478" s="633">
        <f>Таблица7[[#This Row],[Размер отряда минимум]]*2.5</f>
        <v>24.75</v>
      </c>
      <c r="N478" s="633"/>
      <c r="O478" s="633"/>
      <c r="P478" s="633"/>
      <c r="Q478" s="633"/>
      <c r="R478" s="152" t="s">
        <v>1135</v>
      </c>
      <c r="S478" s="824" t="s">
        <v>2072</v>
      </c>
      <c r="T478" s="259" t="s">
        <v>975</v>
      </c>
      <c r="U478" s="908" t="s">
        <v>2660</v>
      </c>
      <c r="V478" s="263"/>
      <c r="W478" s="552" t="s">
        <v>984</v>
      </c>
      <c r="X478" s="262" t="s">
        <v>1036</v>
      </c>
      <c r="Y478" s="262"/>
      <c r="Z478" s="262"/>
      <c r="AA478" s="262"/>
      <c r="AB478" s="262" t="s">
        <v>1596</v>
      </c>
      <c r="AC478" s="262"/>
      <c r="AD478" s="193" t="s">
        <v>1158</v>
      </c>
      <c r="AE478" s="193"/>
      <c r="AF478" s="152" t="s">
        <v>985</v>
      </c>
      <c r="AG478" s="152"/>
      <c r="AH478" s="152" t="s">
        <v>985</v>
      </c>
      <c r="AI478" s="152"/>
      <c r="AJ478" s="193" t="s">
        <v>985</v>
      </c>
      <c r="AK478" s="193"/>
      <c r="AL478" s="210" t="s">
        <v>985</v>
      </c>
      <c r="AM478" s="152" t="s">
        <v>1136</v>
      </c>
      <c r="AN478" s="152" t="s">
        <v>1136</v>
      </c>
      <c r="AO478" s="824" t="s">
        <v>2072</v>
      </c>
      <c r="AP478" s="259" t="s">
        <v>1196</v>
      </c>
      <c r="AQ478" s="259"/>
      <c r="AS478" s="151">
        <v>1500</v>
      </c>
      <c r="AT478" s="154">
        <v>1567</v>
      </c>
      <c r="AU478" s="405">
        <v>10</v>
      </c>
      <c r="AV478" s="405"/>
      <c r="AW478" s="405">
        <f>VLOOKUP(Таблица7[[#This Row],[Основное оружие]], Оружие[#All], 2, 0)</f>
        <v>5</v>
      </c>
      <c r="AX478" s="405" t="str">
        <f>IF(ISBLANK(Таблица7[[#This Row],[Дополнительное оружие]]),"", VLOOKUP(Таблица7[[#This Row],[Дополнительное оружие]], Оружие[#All], 2, 0))</f>
        <v/>
      </c>
      <c r="AY47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10</v>
      </c>
      <c r="AZ47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478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78" s="405">
        <f>VLOOKUP(Таблица7[[#This Row],[Основное оружие]], Оружие[#All], 3, 0)</f>
        <v>3</v>
      </c>
      <c r="BC478" s="405" t="str">
        <f>IF(ISBLANK(Таблица7[[#This Row],[Дополнительное оружие]]),"", VLOOKUP(Таблица7[[#This Row],[Дополнительное оружие]], Оружие[#All], 3, 0))</f>
        <v/>
      </c>
      <c r="BD47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47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7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7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10</v>
      </c>
      <c r="BI47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10</v>
      </c>
      <c r="BJ478" s="405">
        <f>Таблица7[[#This Row],[Броня]]+Таблица7[[#This Row],[Щит]]+Таблица7[[#This Row],[навык защиты]]</f>
        <v>33</v>
      </c>
      <c r="BK478" s="1006"/>
      <c r="BL478" s="1006"/>
      <c r="BM478" s="400"/>
      <c r="BN478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8" s="400">
        <v>1</v>
      </c>
      <c r="BP478" s="400">
        <v>1</v>
      </c>
      <c r="BQ478" s="400">
        <v>0</v>
      </c>
      <c r="BR478" s="400">
        <v>2</v>
      </c>
      <c r="BS478" s="400">
        <v>0</v>
      </c>
      <c r="BT478" s="400">
        <v>9</v>
      </c>
      <c r="BU478" s="1002" t="s">
        <v>1840</v>
      </c>
      <c r="BV478" s="1002" t="s">
        <v>1844</v>
      </c>
      <c r="BW478" s="400"/>
      <c r="BX478" s="400"/>
      <c r="BY478" s="400"/>
      <c r="BZ478" s="155"/>
    </row>
    <row r="479" spans="1:78" s="151" customFormat="1" ht="40.5" customHeight="1" x14ac:dyDescent="0.25">
      <c r="A479" s="333">
        <v>478</v>
      </c>
      <c r="B479" s="150" t="s">
        <v>1421</v>
      </c>
      <c r="C479" s="150" t="s">
        <v>2262</v>
      </c>
      <c r="D479" s="152" t="s">
        <v>1556</v>
      </c>
      <c r="E479" s="262" t="s">
        <v>1546</v>
      </c>
      <c r="F479" s="262"/>
      <c r="G479" s="262"/>
      <c r="H479" s="262"/>
      <c r="I479" s="663">
        <v>0.1</v>
      </c>
      <c r="J479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</v>
      </c>
      <c r="K479" s="631">
        <f>Таблица7[[#This Row],[Размер отряда минимум]]*1.25</f>
        <v>12.5</v>
      </c>
      <c r="L479" s="631">
        <f>Таблица7[[#This Row],[Размер отряда норма]]*1.5</f>
        <v>18.75</v>
      </c>
      <c r="M479" s="633">
        <f>Таблица7[[#This Row],[Размер отряда минимум]]*2.5</f>
        <v>25</v>
      </c>
      <c r="N479" s="633"/>
      <c r="O479" s="633"/>
      <c r="P479" s="633"/>
      <c r="Q479" s="633"/>
      <c r="R479" s="152" t="s">
        <v>1135</v>
      </c>
      <c r="S479" s="824" t="s">
        <v>2072</v>
      </c>
      <c r="T479" s="259" t="s">
        <v>976</v>
      </c>
      <c r="U479" s="908" t="s">
        <v>2661</v>
      </c>
      <c r="V479" s="910" t="s">
        <v>2607</v>
      </c>
      <c r="W479" s="259" t="s">
        <v>984</v>
      </c>
      <c r="X479" s="250" t="s">
        <v>1440</v>
      </c>
      <c r="Y479" s="824" t="s">
        <v>2020</v>
      </c>
      <c r="Z479" s="250" t="s">
        <v>1507</v>
      </c>
      <c r="AA479" s="824" t="s">
        <v>2077</v>
      </c>
      <c r="AB479" s="250"/>
      <c r="AC479" s="250"/>
      <c r="AD479" s="257" t="s">
        <v>985</v>
      </c>
      <c r="AE479" s="257"/>
      <c r="AF479" s="152" t="s">
        <v>985</v>
      </c>
      <c r="AG479" s="152"/>
      <c r="AH479" s="152" t="s">
        <v>985</v>
      </c>
      <c r="AI479" s="152"/>
      <c r="AJ479" s="193" t="s">
        <v>985</v>
      </c>
      <c r="AK479" s="193"/>
      <c r="AL479" s="210" t="s">
        <v>985</v>
      </c>
      <c r="AM479" s="152" t="s">
        <v>1136</v>
      </c>
      <c r="AN479" s="152" t="s">
        <v>1136</v>
      </c>
      <c r="AO479" s="824" t="s">
        <v>2072</v>
      </c>
      <c r="AP479" s="259" t="s">
        <v>1197</v>
      </c>
      <c r="AQ479" s="824" t="s">
        <v>2078</v>
      </c>
      <c r="AS479" s="151">
        <v>1567</v>
      </c>
      <c r="AT479" s="154"/>
      <c r="AU479" s="405">
        <v>10</v>
      </c>
      <c r="AV479" s="405"/>
      <c r="AW479" s="405">
        <f>VLOOKUP(Таблица7[[#This Row],[Основное оружие]], Оружие[#All], 2, 0)</f>
        <v>4</v>
      </c>
      <c r="AX479" s="405">
        <f>IF(ISBLANK(Таблица7[[#This Row],[Дополнительное оружие]]),"", VLOOKUP(Таблица7[[#This Row],[Дополнительное оружие]], Оружие[#All], 2, 0))</f>
        <v>1</v>
      </c>
      <c r="AY47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12</v>
      </c>
      <c r="AZ47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атаки]])+6</f>
        <v>22</v>
      </c>
      <c r="BA479" s="703"/>
      <c r="BB479" s="405">
        <f>VLOOKUP(Таблица7[[#This Row],[Основное оружие]], Оружие[#All], 3, 0)</f>
        <v>3</v>
      </c>
      <c r="BC479" s="405">
        <f>IF(ISBLANK(Таблица7[[#This Row],[Дополнительное оружие]]),"", VLOOKUP(Таблица7[[#This Row],[Дополнительное оружие]], Оружие[#All], 3, 0))</f>
        <v>1</v>
      </c>
      <c r="BD47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7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7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7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7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11</v>
      </c>
      <c r="BI47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79" s="405">
        <f>Таблица7[[#This Row],[Броня]]+Таблица7[[#This Row],[Щит]]+Таблица7[[#This Row],[навык защиты]]</f>
        <v>12</v>
      </c>
      <c r="BK479" s="1008" t="s">
        <v>1590</v>
      </c>
      <c r="BL479" s="1006"/>
      <c r="BM479" s="400"/>
      <c r="BN479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79" s="400">
        <v>2</v>
      </c>
      <c r="BP479" s="400">
        <v>1</v>
      </c>
      <c r="BQ479" s="400">
        <v>-1</v>
      </c>
      <c r="BR479" s="400">
        <v>2</v>
      </c>
      <c r="BS479" s="400">
        <v>1</v>
      </c>
      <c r="BT479" s="400">
        <v>9</v>
      </c>
      <c r="BU479" s="1002" t="s">
        <v>1840</v>
      </c>
      <c r="BV479" s="1002" t="s">
        <v>1844</v>
      </c>
      <c r="BW479" s="400"/>
      <c r="BX479" s="400"/>
      <c r="BY479" s="400"/>
      <c r="BZ479" s="155"/>
    </row>
    <row r="480" spans="1:78" s="151" customFormat="1" ht="40.5" customHeight="1" x14ac:dyDescent="0.25">
      <c r="A480" s="333">
        <v>479</v>
      </c>
      <c r="B480" s="150" t="s">
        <v>1422</v>
      </c>
      <c r="C480" s="150" t="s">
        <v>2150</v>
      </c>
      <c r="D480" s="152" t="s">
        <v>1556</v>
      </c>
      <c r="E480" s="262" t="s">
        <v>1546</v>
      </c>
      <c r="F480" s="262"/>
      <c r="G480" s="262"/>
      <c r="H480" s="262"/>
      <c r="I480" s="663">
        <v>0.11</v>
      </c>
      <c r="J480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9.9</v>
      </c>
      <c r="K480" s="631">
        <f>Таблица7[[#This Row],[Размер отряда минимум]]*1.25</f>
        <v>12.375</v>
      </c>
      <c r="L480" s="631">
        <f>Таблица7[[#This Row],[Размер отряда норма]]*1.5</f>
        <v>18.5625</v>
      </c>
      <c r="M480" s="633">
        <f>Таблица7[[#This Row],[Размер отряда минимум]]*2.5</f>
        <v>24.75</v>
      </c>
      <c r="N480" s="633"/>
      <c r="O480" s="633"/>
      <c r="P480" s="633"/>
      <c r="Q480" s="633"/>
      <c r="R480" s="152" t="s">
        <v>1135</v>
      </c>
      <c r="S480" s="824" t="s">
        <v>2072</v>
      </c>
      <c r="T480" s="262" t="s">
        <v>975</v>
      </c>
      <c r="U480" s="908" t="s">
        <v>2662</v>
      </c>
      <c r="V480" s="910" t="s">
        <v>2608</v>
      </c>
      <c r="W480" s="552" t="s">
        <v>984</v>
      </c>
      <c r="X480" s="350" t="s">
        <v>1036</v>
      </c>
      <c r="Y480" s="824" t="s">
        <v>1929</v>
      </c>
      <c r="Z480" s="350"/>
      <c r="AA480" s="350"/>
      <c r="AB480" s="418" t="s">
        <v>1458</v>
      </c>
      <c r="AC480" s="418" t="s">
        <v>1920</v>
      </c>
      <c r="AD480" s="264" t="s">
        <v>985</v>
      </c>
      <c r="AE480" s="264"/>
      <c r="AF480" s="262" t="s">
        <v>985</v>
      </c>
      <c r="AG480" s="262"/>
      <c r="AH480" s="262" t="s">
        <v>985</v>
      </c>
      <c r="AI480" s="262"/>
      <c r="AJ480" s="264" t="s">
        <v>985</v>
      </c>
      <c r="AK480" s="264"/>
      <c r="AL480" s="265" t="s">
        <v>985</v>
      </c>
      <c r="AM480" s="152" t="s">
        <v>1136</v>
      </c>
      <c r="AN480" s="152" t="s">
        <v>1136</v>
      </c>
      <c r="AO480" s="824" t="s">
        <v>2072</v>
      </c>
      <c r="AP480" s="262" t="s">
        <v>1199</v>
      </c>
      <c r="AQ480" s="824" t="s">
        <v>2151</v>
      </c>
      <c r="AS480" s="151">
        <v>1510</v>
      </c>
      <c r="AT480" s="154">
        <v>1550</v>
      </c>
      <c r="AU480" s="405">
        <v>10</v>
      </c>
      <c r="AV480" s="405"/>
      <c r="AW480" s="405">
        <f>VLOOKUP(Таблица7[[#This Row],[Основное оружие]], Оружие[#All], 2, 0)</f>
        <v>5</v>
      </c>
      <c r="AX480" s="405" t="str">
        <f>IF(ISBLANK(Таблица7[[#This Row],[Дополнительное оружие]]),"", VLOOKUP(Таблица7[[#This Row],[Дополнительное оружие]], Оружие[#All], 2, 0))</f>
        <v/>
      </c>
      <c r="AY480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12</v>
      </c>
      <c r="AZ480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17</v>
      </c>
      <c r="BA480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80" s="405">
        <f>VLOOKUP(Таблица7[[#This Row],[Основное оружие]], Оружие[#All], 3, 0)</f>
        <v>3</v>
      </c>
      <c r="BC480" s="405" t="str">
        <f>IF(ISBLANK(Таблица7[[#This Row],[Дополнительное оружие]]),"", VLOOKUP(Таблица7[[#This Row],[Дополнительное оружие]], Оружие[#All], 3, 0))</f>
        <v/>
      </c>
      <c r="BD480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80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80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0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80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11</v>
      </c>
      <c r="BI480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2</v>
      </c>
      <c r="BJ480" s="405">
        <f>Таблица7[[#This Row],[Броня]]+Таблица7[[#This Row],[Щит]]+Таблица7[[#This Row],[навык защиты]]</f>
        <v>14</v>
      </c>
      <c r="BK480" s="1006"/>
      <c r="BL480" s="1006"/>
      <c r="BM480" s="400"/>
      <c r="BN480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80" s="400">
        <v>1</v>
      </c>
      <c r="BP480" s="400">
        <v>1</v>
      </c>
      <c r="BQ480" s="400">
        <v>0</v>
      </c>
      <c r="BR480" s="400">
        <v>2</v>
      </c>
      <c r="BS480" s="400">
        <v>0</v>
      </c>
      <c r="BT480" s="400">
        <v>10</v>
      </c>
      <c r="BU480" s="1002" t="s">
        <v>1840</v>
      </c>
      <c r="BV480" s="1002" t="s">
        <v>1844</v>
      </c>
      <c r="BW480" s="400"/>
      <c r="BX480" s="400"/>
      <c r="BY480" s="400"/>
      <c r="BZ480" s="155"/>
    </row>
    <row r="481" spans="1:78" s="151" customFormat="1" ht="40.5" customHeight="1" x14ac:dyDescent="0.25">
      <c r="A481" s="333">
        <v>480</v>
      </c>
      <c r="B481" s="150" t="s">
        <v>1595</v>
      </c>
      <c r="C481" s="150"/>
      <c r="D481" s="488" t="s">
        <v>1555</v>
      </c>
      <c r="E481" s="151" t="s">
        <v>1559</v>
      </c>
      <c r="I481" s="663">
        <v>0.8</v>
      </c>
      <c r="J481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25.6</v>
      </c>
      <c r="K481" s="631">
        <f>Таблица7[[#This Row],[Размер отряда минимум]]*1.25</f>
        <v>32</v>
      </c>
      <c r="L481" s="631">
        <f>Таблица7[[#This Row],[Размер отряда норма]]*1.5</f>
        <v>48</v>
      </c>
      <c r="M481" s="633">
        <f>Таблица7[[#This Row],[Размер отряда минимум]]*2.5</f>
        <v>64</v>
      </c>
      <c r="N481" s="633"/>
      <c r="O481" s="633"/>
      <c r="P481" s="633"/>
      <c r="Q481" s="633"/>
      <c r="R481" s="152" t="s">
        <v>1135</v>
      </c>
      <c r="S481" s="824" t="s">
        <v>2072</v>
      </c>
      <c r="T481" s="152" t="s">
        <v>1032</v>
      </c>
      <c r="U481" s="908" t="s">
        <v>2663</v>
      </c>
      <c r="V481" s="489"/>
      <c r="W481" s="488" t="s">
        <v>1001</v>
      </c>
      <c r="X481" s="151" t="s">
        <v>1528</v>
      </c>
      <c r="Z481" s="151" t="s">
        <v>1441</v>
      </c>
      <c r="AB481" s="151" t="s">
        <v>1596</v>
      </c>
      <c r="AD481" s="339" t="s">
        <v>1478</v>
      </c>
      <c r="AE481" s="339"/>
      <c r="AF481" s="151" t="s">
        <v>985</v>
      </c>
      <c r="AH481" s="151" t="s">
        <v>985</v>
      </c>
      <c r="AJ481" s="879" t="s">
        <v>2325</v>
      </c>
      <c r="AL481" s="490" t="s">
        <v>1163</v>
      </c>
      <c r="AM481" s="152" t="s">
        <v>1136</v>
      </c>
      <c r="AN481" s="152" t="s">
        <v>1136</v>
      </c>
      <c r="AO481" s="824" t="s">
        <v>2072</v>
      </c>
      <c r="AP481" s="488" t="s">
        <v>1191</v>
      </c>
      <c r="AQ481" s="488"/>
      <c r="AS481" s="151">
        <v>1500</v>
      </c>
      <c r="AT481" s="154"/>
      <c r="AU481" s="405">
        <v>6</v>
      </c>
      <c r="AV481" s="405"/>
      <c r="AW481" s="405">
        <f>VLOOKUP(Таблица7[[#This Row],[Основное оружие]], Оружие[#All], 2, 0)</f>
        <v>2</v>
      </c>
      <c r="AX481" s="405">
        <f>IF(ISBLANK(Таблица7[[#This Row],[Дополнительное оружие]]),"", VLOOKUP(Таблица7[[#This Row],[Дополнительное оружие]], Оружие[#All], 2, 0))</f>
        <v>4</v>
      </c>
      <c r="AY481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8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48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9</v>
      </c>
      <c r="BB481" s="405">
        <f>VLOOKUP(Таблица7[[#This Row],[Основное оружие]], Оружие[#All], 3, 0)</f>
        <v>6</v>
      </c>
      <c r="BC481" s="405">
        <f>IF(ISBLANK(Таблица7[[#This Row],[Дополнительное оружие]]),"", VLOOKUP(Таблица7[[#This Row],[Дополнительное оружие]], Оружие[#All], 3, 0))</f>
        <v>3</v>
      </c>
      <c r="BD481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11</v>
      </c>
      <c r="BE481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81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1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18</v>
      </c>
      <c r="BH48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81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8</v>
      </c>
      <c r="BJ481" s="405">
        <f>Таблица7[[#This Row],[Броня]]+Таблица7[[#This Row],[Щит]]+Таблица7[[#This Row],[навык защиты]]</f>
        <v>23</v>
      </c>
      <c r="BK481" s="1006"/>
      <c r="BL481" s="1006"/>
      <c r="BM481" s="400"/>
      <c r="BN481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81" s="400">
        <v>1</v>
      </c>
      <c r="BP481" s="399">
        <v>-2</v>
      </c>
      <c r="BQ481" s="399">
        <v>0</v>
      </c>
      <c r="BR481" s="399">
        <v>-4</v>
      </c>
      <c r="BS481" s="399">
        <v>-2</v>
      </c>
      <c r="BT481" s="400">
        <v>10</v>
      </c>
      <c r="BU481" s="1002" t="s">
        <v>1841</v>
      </c>
      <c r="BV481" s="1002" t="s">
        <v>1843</v>
      </c>
      <c r="BW481" s="400"/>
      <c r="BX481" s="400"/>
      <c r="BY481" s="400"/>
      <c r="BZ481" s="155"/>
    </row>
    <row r="482" spans="1:78" s="151" customFormat="1" ht="40.5" customHeight="1" x14ac:dyDescent="0.25">
      <c r="A482" s="333">
        <v>481</v>
      </c>
      <c r="B482" s="150" t="s">
        <v>2422</v>
      </c>
      <c r="C482" s="150" t="s">
        <v>2423</v>
      </c>
      <c r="D482" s="151" t="s">
        <v>1556</v>
      </c>
      <c r="E482" s="151" t="s">
        <v>1570</v>
      </c>
      <c r="I482" s="663">
        <v>1</v>
      </c>
      <c r="J482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482" s="631">
        <f>Таблица7[[#This Row],[Размер отряда минимум]]*1.25</f>
        <v>125</v>
      </c>
      <c r="L482" s="631">
        <f>Таблица7[[#This Row],[Размер отряда норма]]*1.5</f>
        <v>187.5</v>
      </c>
      <c r="M482" s="633">
        <f>Таблица7[[#This Row],[Размер отряда минимум]]*2.5</f>
        <v>250</v>
      </c>
      <c r="N482" s="633"/>
      <c r="O482" s="633"/>
      <c r="P482" s="633"/>
      <c r="Q482" s="633"/>
      <c r="R482" s="152" t="s">
        <v>1135</v>
      </c>
      <c r="S482" s="824" t="s">
        <v>2072</v>
      </c>
      <c r="T482" s="488" t="s">
        <v>1032</v>
      </c>
      <c r="U482" s="908" t="s">
        <v>2664</v>
      </c>
      <c r="V482" s="910" t="s">
        <v>2609</v>
      </c>
      <c r="W482" s="488" t="s">
        <v>984</v>
      </c>
      <c r="X482" s="151" t="s">
        <v>1467</v>
      </c>
      <c r="Y482" s="879" t="s">
        <v>1937</v>
      </c>
      <c r="Z482" s="151" t="s">
        <v>1435</v>
      </c>
      <c r="AA482" s="879" t="s">
        <v>1930</v>
      </c>
      <c r="AD482" s="339" t="s">
        <v>985</v>
      </c>
      <c r="AE482" s="339"/>
      <c r="AF482" s="151" t="s">
        <v>991</v>
      </c>
      <c r="AG482" s="879" t="s">
        <v>1951</v>
      </c>
      <c r="AH482" s="151" t="s">
        <v>985</v>
      </c>
      <c r="AJ482" s="151" t="s">
        <v>985</v>
      </c>
      <c r="AL482" s="490" t="s">
        <v>985</v>
      </c>
      <c r="AM482" s="152" t="s">
        <v>1136</v>
      </c>
      <c r="AN482" s="152" t="s">
        <v>1136</v>
      </c>
      <c r="AO482" s="824" t="s">
        <v>2072</v>
      </c>
      <c r="AP482" s="879" t="s">
        <v>2425</v>
      </c>
      <c r="AQ482" s="879" t="s">
        <v>2424</v>
      </c>
      <c r="AS482" s="151">
        <v>1500</v>
      </c>
      <c r="AT482" s="154"/>
      <c r="AU482" s="405">
        <v>3</v>
      </c>
      <c r="AV482" s="405" t="s">
        <v>1827</v>
      </c>
      <c r="AW482" s="405">
        <f>VLOOKUP(Таблица7[[#This Row],[Основное оружие]], Оружие[#All], 2, 0)</f>
        <v>0</v>
      </c>
      <c r="AX482" s="405">
        <f>IF(ISBLANK(Таблица7[[#This Row],[Дополнительное оружие]]),"", VLOOKUP(Таблица7[[#This Row],[Дополнительное оружие]], Оружие[#All], 2, 0))</f>
        <v>1</v>
      </c>
      <c r="AY482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482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82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6</v>
      </c>
      <c r="BB482" s="405">
        <f>VLOOKUP(Таблица7[[#This Row],[Основное оружие]], Оружие[#All], 3, 0)</f>
        <v>1</v>
      </c>
      <c r="BC482" s="405">
        <f>IF(ISBLANK(Таблица7[[#This Row],[Дополнительное оружие]]),"", VLOOKUP(Таблица7[[#This Row],[Дополнительное оружие]], Оружие[#All], 3, 0))</f>
        <v>1</v>
      </c>
      <c r="BD482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82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82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2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82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82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82" s="405">
        <f>Таблица7[[#This Row],[Броня]]+Таблица7[[#This Row],[Щит]]+Таблица7[[#This Row],[навык защиты]]</f>
        <v>5</v>
      </c>
      <c r="BK482" s="1006"/>
      <c r="BL482" s="1006"/>
      <c r="BM482" s="400"/>
      <c r="BN482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82" s="400">
        <v>1</v>
      </c>
      <c r="BP482" s="400">
        <v>1</v>
      </c>
      <c r="BQ482" s="400">
        <v>0</v>
      </c>
      <c r="BR482" s="400">
        <v>2</v>
      </c>
      <c r="BS482" s="400">
        <v>0</v>
      </c>
      <c r="BT482" s="400">
        <v>6</v>
      </c>
      <c r="BU482" s="1002" t="s">
        <v>1576</v>
      </c>
      <c r="BV482" s="1002" t="s">
        <v>1843</v>
      </c>
      <c r="BW482" s="400"/>
      <c r="BX482" s="400"/>
      <c r="BY482" s="400"/>
      <c r="BZ482" s="155"/>
    </row>
    <row r="483" spans="1:78" s="151" customFormat="1" ht="40.5" customHeight="1" x14ac:dyDescent="0.25">
      <c r="A483" s="333">
        <v>482</v>
      </c>
      <c r="B483" s="150" t="s">
        <v>1594</v>
      </c>
      <c r="C483" s="150"/>
      <c r="D483" s="151" t="s">
        <v>1556</v>
      </c>
      <c r="E483" s="151" t="s">
        <v>1571</v>
      </c>
      <c r="I483" s="663">
        <v>0.75</v>
      </c>
      <c r="J483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483" s="631">
        <f>Таблица7[[#This Row],[Размер отряда минимум]]*1.25</f>
        <v>84.375</v>
      </c>
      <c r="L483" s="631">
        <f>Таблица7[[#This Row],[Размер отряда норма]]*1.5</f>
        <v>126.5625</v>
      </c>
      <c r="M483" s="633">
        <f>Таблица7[[#This Row],[Размер отряда минимум]]*2.5</f>
        <v>168.75</v>
      </c>
      <c r="N483" s="633"/>
      <c r="O483" s="633"/>
      <c r="P483" s="633"/>
      <c r="Q483" s="633"/>
      <c r="R483" s="152" t="s">
        <v>1135</v>
      </c>
      <c r="S483" s="824" t="s">
        <v>2072</v>
      </c>
      <c r="T483" s="543" t="s">
        <v>975</v>
      </c>
      <c r="U483" s="908" t="s">
        <v>2665</v>
      </c>
      <c r="V483" s="489"/>
      <c r="W483" s="488" t="s">
        <v>1001</v>
      </c>
      <c r="X483" s="151" t="s">
        <v>1467</v>
      </c>
      <c r="Z483" s="151" t="s">
        <v>1036</v>
      </c>
      <c r="AD483" s="339" t="s">
        <v>1491</v>
      </c>
      <c r="AE483" s="339"/>
      <c r="AF483" s="151" t="s">
        <v>1483</v>
      </c>
      <c r="AH483" s="151" t="s">
        <v>985</v>
      </c>
      <c r="AJ483" s="151" t="s">
        <v>985</v>
      </c>
      <c r="AL483" s="490" t="s">
        <v>985</v>
      </c>
      <c r="AM483" s="152" t="s">
        <v>1136</v>
      </c>
      <c r="AN483" s="152" t="s">
        <v>1136</v>
      </c>
      <c r="AO483" s="824" t="s">
        <v>2072</v>
      </c>
      <c r="AP483" s="488" t="s">
        <v>980</v>
      </c>
      <c r="AQ483" s="488"/>
      <c r="AS483" s="151">
        <v>1500</v>
      </c>
      <c r="AT483" s="154">
        <v>1550</v>
      </c>
      <c r="AU483" s="405">
        <v>3</v>
      </c>
      <c r="AV483" s="405" t="s">
        <v>1827</v>
      </c>
      <c r="AW483" s="405">
        <f>VLOOKUP(Таблица7[[#This Row],[Основное оружие]], Оружие[#All], 2, 0)</f>
        <v>0</v>
      </c>
      <c r="AX483" s="405">
        <f>IF(ISBLANK(Таблица7[[#This Row],[Дополнительное оружие]]),"", VLOOKUP(Таблица7[[#This Row],[Дополнительное оружие]], Оружие[#All], 2, 0))</f>
        <v>5</v>
      </c>
      <c r="AY483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483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83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483" s="405">
        <f>VLOOKUP(Таблица7[[#This Row],[Основное оружие]], Оружие[#All], 3, 0)</f>
        <v>1</v>
      </c>
      <c r="BC483" s="405">
        <f>IF(ISBLANK(Таблица7[[#This Row],[Дополнительное оружие]]),"", VLOOKUP(Таблица7[[#This Row],[Дополнительное оружие]], Оружие[#All], 3, 0))</f>
        <v>3</v>
      </c>
      <c r="BD483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9</v>
      </c>
      <c r="BE483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11</v>
      </c>
      <c r="BF483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3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83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83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83" s="405">
        <f>Таблица7[[#This Row],[Броня]]+Таблица7[[#This Row],[Щит]]+Таблица7[[#This Row],[навык защиты]]</f>
        <v>12</v>
      </c>
      <c r="BK483" s="1006"/>
      <c r="BL483" s="1006"/>
      <c r="BM483" s="400"/>
      <c r="BN483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83" s="400">
        <v>2</v>
      </c>
      <c r="BP483" s="400">
        <v>1</v>
      </c>
      <c r="BQ483" s="400">
        <v>-1</v>
      </c>
      <c r="BR483" s="400">
        <v>2</v>
      </c>
      <c r="BS483" s="400">
        <v>1</v>
      </c>
      <c r="BT483" s="400">
        <v>6</v>
      </c>
      <c r="BU483" s="1002" t="s">
        <v>1576</v>
      </c>
      <c r="BV483" s="1002" t="s">
        <v>1843</v>
      </c>
      <c r="BW483" s="400"/>
      <c r="BX483" s="400"/>
      <c r="BY483" s="400"/>
      <c r="BZ483" s="155"/>
    </row>
    <row r="484" spans="1:78" s="151" customFormat="1" ht="40.5" customHeight="1" x14ac:dyDescent="0.25">
      <c r="A484" s="333">
        <v>483</v>
      </c>
      <c r="B484" s="486" t="s">
        <v>1657</v>
      </c>
      <c r="C484" s="486"/>
      <c r="D484" s="486" t="s">
        <v>1556</v>
      </c>
      <c r="E484" s="486" t="s">
        <v>1570</v>
      </c>
      <c r="F484" s="486"/>
      <c r="G484" s="486"/>
      <c r="H484" s="486"/>
      <c r="I484" s="663">
        <v>0.75</v>
      </c>
      <c r="J484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84" s="631">
        <f>Таблица7[[#This Row],[Размер отряда минимум]]*1.25</f>
        <v>93.75</v>
      </c>
      <c r="L484" s="631">
        <f>Таблица7[[#This Row],[Размер отряда норма]]*1.5</f>
        <v>140.625</v>
      </c>
      <c r="M484" s="633">
        <f>Таблица7[[#This Row],[Размер отряда минимум]]*2.5</f>
        <v>187.5</v>
      </c>
      <c r="N484" s="633"/>
      <c r="O484" s="633"/>
      <c r="P484" s="633"/>
      <c r="Q484" s="633"/>
      <c r="R484" s="152" t="s">
        <v>1135</v>
      </c>
      <c r="S484" s="824" t="s">
        <v>2072</v>
      </c>
      <c r="T484" s="488" t="s">
        <v>1032</v>
      </c>
      <c r="U484" s="908" t="s">
        <v>2666</v>
      </c>
      <c r="V484" s="519"/>
      <c r="W484" s="488" t="s">
        <v>984</v>
      </c>
      <c r="X484" s="486" t="s">
        <v>1469</v>
      </c>
      <c r="Y484" s="486"/>
      <c r="Z484" s="486" t="s">
        <v>1441</v>
      </c>
      <c r="AA484" s="486"/>
      <c r="AB484" s="486"/>
      <c r="AC484" s="486"/>
      <c r="AD484" s="685" t="s">
        <v>985</v>
      </c>
      <c r="AE484" s="685"/>
      <c r="AF484" s="486" t="s">
        <v>991</v>
      </c>
      <c r="AG484" s="486"/>
      <c r="AH484" s="486" t="s">
        <v>985</v>
      </c>
      <c r="AI484" s="486"/>
      <c r="AJ484" s="486" t="s">
        <v>985</v>
      </c>
      <c r="AK484" s="486"/>
      <c r="AL484" s="490" t="s">
        <v>985</v>
      </c>
      <c r="AM484" s="152" t="s">
        <v>1136</v>
      </c>
      <c r="AN484" s="152" t="s">
        <v>1136</v>
      </c>
      <c r="AO484" s="824" t="s">
        <v>2072</v>
      </c>
      <c r="AP484" s="538" t="s">
        <v>1658</v>
      </c>
      <c r="AQ484" s="538"/>
      <c r="AS484" s="151">
        <v>1530</v>
      </c>
      <c r="AT484" s="154"/>
      <c r="AU484" s="405">
        <v>5</v>
      </c>
      <c r="AV484" s="405" t="s">
        <v>1827</v>
      </c>
      <c r="AW484" s="405">
        <f>VLOOKUP(Таблица7[[#This Row],[Основное оружие]], Оружие[#All], 2, 0)</f>
        <v>0</v>
      </c>
      <c r="AX484" s="405">
        <f>IF(ISBLANK(Таблица7[[#This Row],[Дополнительное оружие]]),"", VLOOKUP(Таблица7[[#This Row],[Дополнительное оружие]], Оружие[#All], 2, 0))</f>
        <v>4</v>
      </c>
      <c r="AY484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484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84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11</v>
      </c>
      <c r="BB484" s="405">
        <f>VLOOKUP(Таблица7[[#This Row],[Основное оружие]], Оружие[#All], 3, 0)</f>
        <v>1</v>
      </c>
      <c r="BC484" s="405">
        <f>IF(ISBLANK(Таблица7[[#This Row],[Дополнительное оружие]]),"", VLOOKUP(Таблица7[[#This Row],[Дополнительное оружие]], Оружие[#All], 3, 0))</f>
        <v>3</v>
      </c>
      <c r="BD484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84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484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4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84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6</v>
      </c>
      <c r="BI484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84" s="405">
        <f>Таблица7[[#This Row],[Броня]]+Таблица7[[#This Row],[Щит]]+Таблица7[[#This Row],[навык защиты]]</f>
        <v>7</v>
      </c>
      <c r="BK484" s="1008"/>
      <c r="BL484" s="1006"/>
      <c r="BM484" s="400"/>
      <c r="BN484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84" s="400">
        <v>1</v>
      </c>
      <c r="BP484" s="400">
        <v>1</v>
      </c>
      <c r="BQ484" s="400">
        <v>0</v>
      </c>
      <c r="BR484" s="400">
        <v>2</v>
      </c>
      <c r="BS484" s="400">
        <v>0</v>
      </c>
      <c r="BT484" s="400">
        <v>7</v>
      </c>
      <c r="BU484" s="1002" t="s">
        <v>1576</v>
      </c>
      <c r="BV484" s="1002" t="s">
        <v>1843</v>
      </c>
      <c r="BW484" s="400"/>
      <c r="BX484" s="400"/>
      <c r="BY484" s="400"/>
      <c r="BZ484" s="155"/>
    </row>
    <row r="485" spans="1:78" s="151" customFormat="1" ht="40.5" customHeight="1" x14ac:dyDescent="0.25">
      <c r="A485" s="333">
        <v>484</v>
      </c>
      <c r="B485" s="540" t="s">
        <v>1662</v>
      </c>
      <c r="C485" s="540"/>
      <c r="D485" s="486" t="s">
        <v>1556</v>
      </c>
      <c r="E485" s="486" t="s">
        <v>1562</v>
      </c>
      <c r="F485" s="486"/>
      <c r="G485" s="486"/>
      <c r="H485" s="486"/>
      <c r="I485" s="663">
        <v>0.75</v>
      </c>
      <c r="J485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67.5</v>
      </c>
      <c r="K485" s="631">
        <f>Таблица7[[#This Row],[Размер отряда минимум]]*1.25</f>
        <v>84.375</v>
      </c>
      <c r="L485" s="631">
        <f>Таблица7[[#This Row],[Размер отряда норма]]*1.5</f>
        <v>126.5625</v>
      </c>
      <c r="M485" s="633">
        <f>Таблица7[[#This Row],[Размер отряда минимум]]*2.5</f>
        <v>168.75</v>
      </c>
      <c r="N485" s="633"/>
      <c r="O485" s="633"/>
      <c r="P485" s="633"/>
      <c r="Q485" s="633"/>
      <c r="R485" s="152" t="s">
        <v>1135</v>
      </c>
      <c r="S485" s="824" t="s">
        <v>2072</v>
      </c>
      <c r="T485" s="488" t="s">
        <v>1032</v>
      </c>
      <c r="U485" s="686" t="s">
        <v>2667</v>
      </c>
      <c r="V485" s="541"/>
      <c r="W485" s="540" t="s">
        <v>1001</v>
      </c>
      <c r="X485" s="540" t="s">
        <v>1059</v>
      </c>
      <c r="Y485" s="540"/>
      <c r="Z485" s="540"/>
      <c r="AA485" s="540"/>
      <c r="AB485" s="540" t="s">
        <v>1453</v>
      </c>
      <c r="AC485" s="540"/>
      <c r="AD485" s="328" t="s">
        <v>1482</v>
      </c>
      <c r="AE485" s="328"/>
      <c r="AF485" s="328" t="s">
        <v>1481</v>
      </c>
      <c r="AG485" s="328"/>
      <c r="AH485" s="328" t="s">
        <v>985</v>
      </c>
      <c r="AI485" s="328"/>
      <c r="AJ485" s="328" t="s">
        <v>1164</v>
      </c>
      <c r="AK485" s="328"/>
      <c r="AL485" s="542" t="s">
        <v>985</v>
      </c>
      <c r="AM485" s="152" t="s">
        <v>1136</v>
      </c>
      <c r="AN485" s="152" t="s">
        <v>1136</v>
      </c>
      <c r="AO485" s="824" t="s">
        <v>2072</v>
      </c>
      <c r="AP485" s="543" t="s">
        <v>1663</v>
      </c>
      <c r="AQ485" s="543"/>
      <c r="AS485" s="151">
        <v>1500</v>
      </c>
      <c r="AT485" s="154"/>
      <c r="AU485" s="405">
        <v>5</v>
      </c>
      <c r="AV485" s="405"/>
      <c r="AW485" s="405">
        <f>VLOOKUP(Таблица7[[#This Row],[Основное оружие]], Оружие[#All], 2, 0)</f>
        <v>2</v>
      </c>
      <c r="AX485" s="405" t="str">
        <f>IF(ISBLANK(Таблица7[[#This Row],[Дополнительное оружие]]),"", VLOOKUP(Таблица7[[#This Row],[Дополнительное оружие]], Оружие[#All], 2, 0))</f>
        <v/>
      </c>
      <c r="AY485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85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485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85" s="405">
        <f>VLOOKUP(Таблица7[[#This Row],[Основное оружие]], Оружие[#All], 3, 0)</f>
        <v>3</v>
      </c>
      <c r="BC485" s="405" t="str">
        <f>IF(ISBLANK(Таблица7[[#This Row],[Дополнительное оружие]]),"", VLOOKUP(Таблица7[[#This Row],[Дополнительное оружие]], Оружие[#All], 3, 0))</f>
        <v/>
      </c>
      <c r="BD485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485" s="40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485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5" s="40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21</v>
      </c>
      <c r="BH485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4</v>
      </c>
      <c r="BI485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9</v>
      </c>
      <c r="BJ485" s="405">
        <f>Таблица7[[#This Row],[Броня]]+Таблица7[[#This Row],[Щит]]+Таблица7[[#This Row],[навык защиты]]</f>
        <v>31</v>
      </c>
      <c r="BK485" s="1006"/>
      <c r="BL485" s="1006"/>
      <c r="BM485" s="400"/>
      <c r="BN485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485" s="400">
        <v>2</v>
      </c>
      <c r="BP485" s="400">
        <v>0</v>
      </c>
      <c r="BQ485" s="400">
        <v>-1</v>
      </c>
      <c r="BR485" s="400">
        <v>0</v>
      </c>
      <c r="BS485" s="400">
        <v>1</v>
      </c>
      <c r="BT485" s="400">
        <v>7</v>
      </c>
      <c r="BU485" s="1002" t="s">
        <v>1840</v>
      </c>
      <c r="BV485" s="1002" t="s">
        <v>1844</v>
      </c>
      <c r="BW485" s="400"/>
      <c r="BX485" s="400"/>
      <c r="BY485" s="400"/>
      <c r="BZ485" s="155"/>
    </row>
    <row r="486" spans="1:78" s="151" customFormat="1" ht="40.5" customHeight="1" x14ac:dyDescent="0.25">
      <c r="A486" s="333">
        <v>485</v>
      </c>
      <c r="B486" s="540" t="s">
        <v>1860</v>
      </c>
      <c r="C486" s="540"/>
      <c r="D486" s="486" t="s">
        <v>1556</v>
      </c>
      <c r="E486" s="486" t="s">
        <v>1570</v>
      </c>
      <c r="F486" s="486"/>
      <c r="G486" s="486"/>
      <c r="H486" s="486"/>
      <c r="I486" s="663">
        <v>0.75</v>
      </c>
      <c r="J486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75</v>
      </c>
      <c r="K486" s="631">
        <f>Таблица7[[#This Row],[Размер отряда минимум]]*1.25</f>
        <v>93.75</v>
      </c>
      <c r="L486" s="631">
        <f>Таблица7[[#This Row],[Размер отряда норма]]*1.5</f>
        <v>140.625</v>
      </c>
      <c r="M486" s="633">
        <f>Таблица7[[#This Row],[Размер отряда минимум]]*2.5</f>
        <v>187.5</v>
      </c>
      <c r="N486" s="633"/>
      <c r="O486" s="633"/>
      <c r="P486" s="633"/>
      <c r="Q486" s="633"/>
      <c r="R486" s="152" t="s">
        <v>1135</v>
      </c>
      <c r="S486" s="824" t="s">
        <v>2072</v>
      </c>
      <c r="T486" s="488" t="s">
        <v>1032</v>
      </c>
      <c r="U486" s="908" t="s">
        <v>2668</v>
      </c>
      <c r="V486" s="519"/>
      <c r="W486" s="540" t="s">
        <v>984</v>
      </c>
      <c r="X486" s="486" t="s">
        <v>1688</v>
      </c>
      <c r="Y486" s="486"/>
      <c r="Z486" s="486" t="s">
        <v>1441</v>
      </c>
      <c r="AA486" s="486"/>
      <c r="AB486" s="486"/>
      <c r="AC486" s="486"/>
      <c r="AD486" s="685" t="s">
        <v>985</v>
      </c>
      <c r="AE486" s="685"/>
      <c r="AF486" s="328" t="s">
        <v>985</v>
      </c>
      <c r="AG486" s="328"/>
      <c r="AH486" s="328" t="s">
        <v>985</v>
      </c>
      <c r="AI486" s="328"/>
      <c r="AJ486" s="193" t="s">
        <v>985</v>
      </c>
      <c r="AK486" s="193"/>
      <c r="AL486" s="542" t="s">
        <v>985</v>
      </c>
      <c r="AM486" s="152" t="s">
        <v>1136</v>
      </c>
      <c r="AN486" s="152" t="s">
        <v>1136</v>
      </c>
      <c r="AO486" s="824" t="s">
        <v>2072</v>
      </c>
      <c r="AP486" s="672" t="s">
        <v>1861</v>
      </c>
      <c r="AQ486" s="672"/>
      <c r="AS486" s="151">
        <v>1500</v>
      </c>
      <c r="AT486" s="154"/>
      <c r="AU486" s="405">
        <v>4</v>
      </c>
      <c r="AV486" s="405" t="s">
        <v>1828</v>
      </c>
      <c r="AW486" s="405">
        <f>VLOOKUP(Таблица7[[#This Row],[Основное оружие]], Оружие[#All], 2, 0)</f>
        <v>0</v>
      </c>
      <c r="AX486" s="405">
        <f>IF(ISBLANK(Таблица7[[#This Row],[Дополнительное оружие]]),"", VLOOKUP(Таблица7[[#This Row],[Дополнительное оружие]], Оружие[#All], 2, 0))</f>
        <v>4</v>
      </c>
      <c r="AY486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486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486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10</v>
      </c>
      <c r="BB486" s="405">
        <f>VLOOKUP(Таблица7[[#This Row],[Основное оружие]], Оружие[#All], 3, 0)</f>
        <v>1</v>
      </c>
      <c r="BC486" s="405">
        <f>IF(ISBLANK(Таблица7[[#This Row],[Дополнительное оружие]]),"", VLOOKUP(Таблица7[[#This Row],[Дополнительное оружие]], Оружие[#All], 3, 0))</f>
        <v>3</v>
      </c>
      <c r="BD486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86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86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6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86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486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86" s="405">
        <f>Таблица7[[#This Row],[Броня]]+Таблица7[[#This Row],[Щит]]+Таблица7[[#This Row],[навык защиты]]</f>
        <v>6</v>
      </c>
      <c r="BK486" s="1006"/>
      <c r="BL486" s="1006"/>
      <c r="BM486" s="400"/>
      <c r="BN486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486" s="400">
        <v>1</v>
      </c>
      <c r="BP486" s="400">
        <v>1</v>
      </c>
      <c r="BQ486" s="400">
        <v>0</v>
      </c>
      <c r="BR486" s="400">
        <v>2</v>
      </c>
      <c r="BS486" s="400">
        <v>0</v>
      </c>
      <c r="BT486" s="696">
        <v>9</v>
      </c>
      <c r="BU486" s="1002" t="s">
        <v>1576</v>
      </c>
      <c r="BV486" s="1002" t="s">
        <v>1843</v>
      </c>
      <c r="BW486" s="400"/>
      <c r="BX486" s="400"/>
      <c r="BY486" s="400"/>
      <c r="BZ486" s="155"/>
    </row>
    <row r="487" spans="1:78" s="151" customFormat="1" ht="40.5" customHeight="1" x14ac:dyDescent="0.25">
      <c r="A487" s="333">
        <v>486</v>
      </c>
      <c r="B487" s="954"/>
      <c r="C487" s="540"/>
      <c r="D487" s="949"/>
      <c r="E487" s="949"/>
      <c r="F487" s="949"/>
      <c r="G487" s="949"/>
      <c r="H487" s="949"/>
      <c r="I487" s="952"/>
      <c r="J487" s="953"/>
      <c r="K487" s="953"/>
      <c r="L487" s="953"/>
      <c r="M487" s="953"/>
      <c r="N487" s="953"/>
      <c r="O487" s="953"/>
      <c r="P487" s="953"/>
      <c r="Q487" s="953"/>
      <c r="R487" s="949"/>
      <c r="S487" s="949"/>
      <c r="T487" s="949"/>
      <c r="U487" s="950"/>
      <c r="V487" s="519"/>
      <c r="W487" s="949"/>
      <c r="X487" s="949"/>
      <c r="Y487" s="486"/>
      <c r="Z487" s="949"/>
      <c r="AA487" s="486"/>
      <c r="AB487" s="949"/>
      <c r="AC487" s="486"/>
      <c r="AD487" s="949"/>
      <c r="AE487" s="685"/>
      <c r="AF487" s="949"/>
      <c r="AG487" s="949"/>
      <c r="AH487" s="949"/>
      <c r="AI487" s="949"/>
      <c r="AJ487" s="949"/>
      <c r="AK487" s="949"/>
      <c r="AL487" s="951"/>
      <c r="AM487" s="949"/>
      <c r="AN487" s="949"/>
      <c r="AO487" s="949"/>
      <c r="AQ487" s="672"/>
      <c r="AU487" s="405"/>
      <c r="AV487" s="405"/>
      <c r="AW487" s="405" t="e">
        <f>VLOOKUP(Таблица7[[#This Row],[Основное оружие]], Оружие[#All], 2, 0)</f>
        <v>#N/A</v>
      </c>
      <c r="AX487" s="405"/>
      <c r="AY487" s="405"/>
      <c r="AZ487" s="405"/>
      <c r="BA487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87" s="405"/>
      <c r="BC487" s="405"/>
      <c r="BD487" s="405"/>
      <c r="BE487" s="405" t="e">
        <f>VLOOKUP(Таблица7[[#This Row],[доспехи]], Броня[#All], 2, 0)+IF(Таблица7[[#This Row],[Доспех коня]]="да", VLOOKUP(Tables!$B$56,Броня[#All], 2, 0), 0)</f>
        <v>#N/A</v>
      </c>
      <c r="BF487" s="405" t="e">
        <f>VLOOKUP(Таблица7[[#This Row],[апгрейд 2]], Броня[#All], 2, 0)+IF(Таблица7[[#This Row],[Доспех коня]]="да", VLOOKUP(Tables!$B$56,Броня[#All], 2, 0), 0)</f>
        <v>#N/A</v>
      </c>
      <c r="BG487" s="405" t="e">
        <f>VLOOKUP(Таблица7[[#This Row],[апгрейд 3]], Броня[#All], 2, 0)+IF(Таблица7[[#This Row],[Доспех коня]]="да", VLOOKUP(Tables!$B$56,Броня[#All], 2, 0), 0)</f>
        <v>#N/A</v>
      </c>
      <c r="BH487" s="405"/>
      <c r="BI487" s="405"/>
      <c r="BJ487" s="405"/>
      <c r="BK487" s="1006"/>
      <c r="BL487" s="1006"/>
      <c r="BM487" s="400"/>
      <c r="BN487" s="1002"/>
      <c r="BO487" s="400"/>
      <c r="BP487" s="400"/>
      <c r="BQ487" s="400"/>
      <c r="BR487" s="400"/>
      <c r="BS487" s="400"/>
      <c r="BT487" s="400"/>
      <c r="BU487" s="1002"/>
      <c r="BV487" s="1002"/>
      <c r="BW487" s="400"/>
      <c r="BX487" s="400"/>
      <c r="BY487" s="400"/>
      <c r="BZ487" s="155"/>
    </row>
    <row r="488" spans="1:78" s="151" customFormat="1" ht="40.5" customHeight="1" x14ac:dyDescent="0.25">
      <c r="A488" s="333">
        <v>487</v>
      </c>
      <c r="B488" s="808" t="s">
        <v>1992</v>
      </c>
      <c r="C488" s="540"/>
      <c r="D488" s="783" t="s">
        <v>1556</v>
      </c>
      <c r="E488" s="783" t="s">
        <v>1570</v>
      </c>
      <c r="F488" s="783"/>
      <c r="G488" s="783"/>
      <c r="H488" s="783"/>
      <c r="I488" s="663">
        <v>1</v>
      </c>
      <c r="J488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488" s="631">
        <f>Таблица7[[#This Row],[Размер отряда минимум]]*1.25</f>
        <v>125</v>
      </c>
      <c r="L488" s="631">
        <f>Таблица7[[#This Row],[Размер отряда норма]]*1.5</f>
        <v>187.5</v>
      </c>
      <c r="M488" s="633">
        <f>Таблица7[[#This Row],[Размер отряда минимум]]*2.5</f>
        <v>250</v>
      </c>
      <c r="N488" s="633"/>
      <c r="O488" s="633"/>
      <c r="P488" s="633"/>
      <c r="Q488" s="633"/>
      <c r="R488" s="152" t="s">
        <v>1135</v>
      </c>
      <c r="S488" s="824" t="s">
        <v>2072</v>
      </c>
      <c r="T488" s="488" t="s">
        <v>2014</v>
      </c>
      <c r="U488" s="685" t="s">
        <v>1986</v>
      </c>
      <c r="V488" s="519"/>
      <c r="W488" s="540" t="s">
        <v>984</v>
      </c>
      <c r="X488" s="783" t="s">
        <v>1986</v>
      </c>
      <c r="Y488" s="486"/>
      <c r="Z488" s="783" t="s">
        <v>1435</v>
      </c>
      <c r="AA488" s="486"/>
      <c r="AB488" s="783"/>
      <c r="AC488" s="486"/>
      <c r="AD488" s="685" t="s">
        <v>985</v>
      </c>
      <c r="AE488" s="685"/>
      <c r="AF488" s="328" t="s">
        <v>985</v>
      </c>
      <c r="AG488" s="783"/>
      <c r="AH488" s="328" t="s">
        <v>985</v>
      </c>
      <c r="AI488" s="783"/>
      <c r="AJ488" s="193" t="s">
        <v>985</v>
      </c>
      <c r="AK488" s="783"/>
      <c r="AL488" s="542" t="s">
        <v>985</v>
      </c>
      <c r="AM488" s="152" t="s">
        <v>1136</v>
      </c>
      <c r="AN488" s="152" t="s">
        <v>1136</v>
      </c>
      <c r="AO488" s="824" t="s">
        <v>2072</v>
      </c>
      <c r="AP488" s="813" t="s">
        <v>2015</v>
      </c>
      <c r="AQ488" s="672"/>
      <c r="AS488" s="151">
        <v>1500</v>
      </c>
      <c r="AT488" s="154"/>
      <c r="AU488" s="405">
        <v>2</v>
      </c>
      <c r="AV488" s="405"/>
      <c r="AW488" s="405">
        <f>VLOOKUP(Таблица7[[#This Row],[Основное оружие]], Оружие[#All], 2, 0)</f>
        <v>0</v>
      </c>
      <c r="AX488" s="405">
        <f>IF(ISBLANK(Таблица7[[#This Row],[Дополнительное оружие]]),"", VLOOKUP(Таблица7[[#This Row],[Дополнительное оружие]], Оружие[#All], 2, 0))</f>
        <v>1</v>
      </c>
      <c r="AY488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88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4</v>
      </c>
      <c r="BA488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5</v>
      </c>
      <c r="BB488" s="405">
        <f>VLOOKUP(Таблица7[[#This Row],[Основное оружие]], Оружие[#All], 3, 0)</f>
        <v>1</v>
      </c>
      <c r="BC488" s="405">
        <f>IF(ISBLANK(Таблица7[[#This Row],[Дополнительное оружие]]),"", VLOOKUP(Таблица7[[#This Row],[Дополнительное оружие]], Оружие[#All], 3, 0))</f>
        <v>1</v>
      </c>
      <c r="BD488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88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88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8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88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88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488" s="405">
        <f>Таблица7[[#This Row],[Броня]]+Таблица7[[#This Row],[Щит]]+Таблица7[[#This Row],[навык защиты]]</f>
        <v>4</v>
      </c>
      <c r="BK488" s="1006"/>
      <c r="BL488" s="1006"/>
      <c r="BM488" s="400"/>
      <c r="BN488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88" s="400">
        <v>0</v>
      </c>
      <c r="BP488" s="400">
        <v>1</v>
      </c>
      <c r="BQ488" s="400">
        <v>2</v>
      </c>
      <c r="BR488" s="400">
        <v>2</v>
      </c>
      <c r="BS488" s="400">
        <v>-2</v>
      </c>
      <c r="BT488" s="400">
        <v>3</v>
      </c>
      <c r="BU488" s="1002" t="s">
        <v>1839</v>
      </c>
      <c r="BV488" s="1002" t="s">
        <v>1842</v>
      </c>
      <c r="BW488" s="400"/>
      <c r="BX488" s="400"/>
      <c r="BY488" s="400"/>
      <c r="BZ488" s="155"/>
    </row>
    <row r="489" spans="1:78" s="151" customFormat="1" ht="40.5" customHeight="1" x14ac:dyDescent="0.25">
      <c r="A489" s="333">
        <v>488</v>
      </c>
      <c r="B489" s="710" t="s">
        <v>1987</v>
      </c>
      <c r="C489" s="540"/>
      <c r="D489" s="486" t="s">
        <v>1556</v>
      </c>
      <c r="E489" s="486" t="s">
        <v>1546</v>
      </c>
      <c r="F489" s="486"/>
      <c r="G489" s="486"/>
      <c r="H489" s="486"/>
      <c r="I489" s="705">
        <v>1</v>
      </c>
      <c r="J489" s="631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489" s="631">
        <f>Таблица7[[#This Row],[Размер отряда минимум]]*1.25</f>
        <v>125</v>
      </c>
      <c r="L489" s="631">
        <f>Таблица7[[#This Row],[Размер отряда норма]]*1.5</f>
        <v>187.5</v>
      </c>
      <c r="M489" s="633">
        <f>Таблица7[[#This Row],[Размер отряда минимум]]*2.5</f>
        <v>250</v>
      </c>
      <c r="N489" s="633"/>
      <c r="O489" s="633"/>
      <c r="P489" s="633"/>
      <c r="Q489" s="633"/>
      <c r="R489" s="152" t="s">
        <v>1135</v>
      </c>
      <c r="S489" s="824" t="s">
        <v>2072</v>
      </c>
      <c r="T489" s="937" t="s">
        <v>1032</v>
      </c>
      <c r="U489" s="686" t="s">
        <v>1985</v>
      </c>
      <c r="V489" s="519"/>
      <c r="W489" s="540" t="s">
        <v>984</v>
      </c>
      <c r="X489" s="486" t="s">
        <v>2002</v>
      </c>
      <c r="Y489" s="486"/>
      <c r="Z489" s="486"/>
      <c r="AA489" s="486"/>
      <c r="AB489" s="486" t="s">
        <v>2016</v>
      </c>
      <c r="AC489" s="486"/>
      <c r="AD489" s="685" t="s">
        <v>985</v>
      </c>
      <c r="AE489" s="685"/>
      <c r="AF489" s="328" t="s">
        <v>985</v>
      </c>
      <c r="AG489" s="486"/>
      <c r="AH489" s="328" t="s">
        <v>985</v>
      </c>
      <c r="AI489" s="486"/>
      <c r="AJ489" s="193" t="s">
        <v>985</v>
      </c>
      <c r="AK489" s="486"/>
      <c r="AL489" s="542" t="s">
        <v>985</v>
      </c>
      <c r="AM489" s="152" t="s">
        <v>1136</v>
      </c>
      <c r="AN489" s="152" t="s">
        <v>1136</v>
      </c>
      <c r="AO489" s="824" t="s">
        <v>2072</v>
      </c>
      <c r="AP489" s="813" t="s">
        <v>2015</v>
      </c>
      <c r="AS489" s="151">
        <v>1500</v>
      </c>
      <c r="AT489" s="154"/>
      <c r="AU489" s="405">
        <v>2</v>
      </c>
      <c r="AV489" s="405"/>
      <c r="AW489" s="405">
        <f>VLOOKUP(Таблица7[[#This Row],[Основное оружие]], Оружие[#All], 2, 0)</f>
        <v>1</v>
      </c>
      <c r="AX489" s="405" t="str">
        <f>IF(ISBLANK(Таблица7[[#This Row],[Дополнительное оружие]]),"", VLOOKUP(Таблица7[[#This Row],[Дополнительное оружие]], Оружие[#All], 2, 0))</f>
        <v/>
      </c>
      <c r="AY489" s="40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489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5</v>
      </c>
      <c r="BA489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489" s="405">
        <f>VLOOKUP(Таблица7[[#This Row],[Основное оружие]], Оружие[#All], 3, 0)</f>
        <v>3</v>
      </c>
      <c r="BC489" s="405" t="str">
        <f>IF(ISBLANK(Таблица7[[#This Row],[Дополнительное оружие]]),"", VLOOKUP(Таблица7[[#This Row],[Дополнительное оружие]], Оружие[#All], 3, 0))</f>
        <v/>
      </c>
      <c r="BD489" s="40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489" s="40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489" s="40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489" s="40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489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3</v>
      </c>
      <c r="BI489" s="40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2</v>
      </c>
      <c r="BJ489" s="405">
        <f>Таблица7[[#This Row],[Броня]]+Таблица7[[#This Row],[Щит]]+Таблица7[[#This Row],[навык защиты]]</f>
        <v>6</v>
      </c>
      <c r="BK489" s="1006"/>
      <c r="BL489" s="1006"/>
      <c r="BM489" s="400"/>
      <c r="BN489" s="1002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489" s="400">
        <v>0</v>
      </c>
      <c r="BP489" s="400">
        <v>0</v>
      </c>
      <c r="BQ489" s="400">
        <v>2</v>
      </c>
      <c r="BR489" s="400">
        <v>-1</v>
      </c>
      <c r="BS489" s="400">
        <v>-2</v>
      </c>
      <c r="BT489" s="400">
        <v>3</v>
      </c>
      <c r="BU489" s="1002" t="s">
        <v>1839</v>
      </c>
      <c r="BV489" s="1002" t="s">
        <v>1842</v>
      </c>
      <c r="BW489" s="400"/>
      <c r="BX489" s="400"/>
      <c r="BY489" s="400"/>
      <c r="BZ489" s="155"/>
    </row>
    <row r="490" spans="1:78" s="151" customFormat="1" ht="40.5" customHeight="1" x14ac:dyDescent="0.25">
      <c r="A490" s="333">
        <v>489</v>
      </c>
      <c r="B490" s="710" t="s">
        <v>2801</v>
      </c>
      <c r="C490" s="540"/>
      <c r="D490" s="840"/>
      <c r="E490" s="840"/>
      <c r="F490" s="840"/>
      <c r="G490" s="840"/>
      <c r="H490" s="840"/>
      <c r="I490" s="842"/>
      <c r="J490" s="843"/>
      <c r="K490" s="843"/>
      <c r="L490" s="843"/>
      <c r="M490" s="843"/>
      <c r="N490" s="843"/>
      <c r="O490" s="843"/>
      <c r="P490" s="843"/>
      <c r="Q490" s="843"/>
      <c r="R490" s="840"/>
      <c r="S490" s="840"/>
      <c r="T490" s="840"/>
      <c r="U490" s="863"/>
      <c r="V490" s="519"/>
      <c r="W490" s="840"/>
      <c r="X490" s="840"/>
      <c r="Y490" s="486"/>
      <c r="Z490" s="840"/>
      <c r="AA490" s="486"/>
      <c r="AB490" s="840"/>
      <c r="AC490" s="486"/>
      <c r="AD490" s="840"/>
      <c r="AE490" s="685"/>
      <c r="AF490" s="840"/>
      <c r="AG490" s="840"/>
      <c r="AH490" s="840"/>
      <c r="AI490" s="840"/>
      <c r="AJ490" s="840"/>
      <c r="AK490" s="840"/>
      <c r="AL490" s="542"/>
      <c r="AM490" s="840"/>
      <c r="AN490" s="840"/>
      <c r="AO490" s="840"/>
      <c r="AT490" s="154"/>
      <c r="AU490" s="405"/>
      <c r="AV490" s="405"/>
      <c r="AW490" s="405" t="e">
        <f>VLOOKUP(Таблица7[[#This Row],[Основное оружие]], Оружие[#All], 2, 0)</f>
        <v>#N/A</v>
      </c>
      <c r="AX490" s="405"/>
      <c r="AY490" s="405"/>
      <c r="AZ490" s="405"/>
      <c r="BA490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0" s="405"/>
      <c r="BC490" s="405"/>
      <c r="BD490" s="405"/>
      <c r="BE490" s="405" t="e">
        <f>VLOOKUP(Таблица7[[#This Row],[доспехи]], Броня[#All], 2, 0)+IF(Таблица7[[#This Row],[Доспех коня]]="да", VLOOKUP(Tables!$B$56,Броня[#All], 2, 0), 0)</f>
        <v>#N/A</v>
      </c>
      <c r="BF490" s="405" t="e">
        <f>VLOOKUP(Таблица7[[#This Row],[апгрейд 2]], Броня[#All], 2, 0)+IF(Таблица7[[#This Row],[Доспех коня]]="да", VLOOKUP(Tables!$B$56,Броня[#All], 2, 0), 0)</f>
        <v>#N/A</v>
      </c>
      <c r="BG490" s="405" t="e">
        <f>VLOOKUP(Таблица7[[#This Row],[апгрейд 3]], Броня[#All], 2, 0)+IF(Таблица7[[#This Row],[Доспех коня]]="да", VLOOKUP(Tables!$B$56,Броня[#All], 2, 0), 0)</f>
        <v>#N/A</v>
      </c>
      <c r="BH490" s="405"/>
      <c r="BI490" s="405"/>
      <c r="BJ490" s="405"/>
      <c r="BK490" s="1006"/>
      <c r="BL490" s="1006"/>
      <c r="BM490" s="400"/>
      <c r="BN490" s="1002"/>
      <c r="BO490" s="400"/>
      <c r="BP490" s="400"/>
      <c r="BQ490" s="400"/>
      <c r="BR490" s="400"/>
      <c r="BS490" s="400"/>
      <c r="BT490" s="400"/>
      <c r="BU490" s="1002"/>
      <c r="BV490" s="1002"/>
      <c r="BW490" s="400"/>
      <c r="BX490" s="400"/>
      <c r="BY490" s="400"/>
      <c r="BZ490" s="155"/>
    </row>
    <row r="491" spans="1:78" s="151" customFormat="1" ht="40.5" customHeight="1" x14ac:dyDescent="0.25">
      <c r="A491" s="333">
        <v>490</v>
      </c>
      <c r="B491" s="710" t="s">
        <v>2802</v>
      </c>
      <c r="C491" s="540"/>
      <c r="D491" s="840"/>
      <c r="E491" s="840"/>
      <c r="F491" s="840"/>
      <c r="G491" s="840"/>
      <c r="H491" s="840"/>
      <c r="I491" s="842"/>
      <c r="J491" s="843"/>
      <c r="K491" s="843"/>
      <c r="L491" s="843"/>
      <c r="M491" s="843"/>
      <c r="N491" s="843"/>
      <c r="O491" s="843"/>
      <c r="P491" s="843"/>
      <c r="Q491" s="843"/>
      <c r="R491" s="840"/>
      <c r="S491" s="840"/>
      <c r="T491" s="840"/>
      <c r="U491" s="863"/>
      <c r="V491" s="519"/>
      <c r="W491" s="840"/>
      <c r="X491" s="840"/>
      <c r="Y491" s="486"/>
      <c r="Z491" s="840"/>
      <c r="AA491" s="486"/>
      <c r="AB491" s="840"/>
      <c r="AC491" s="486"/>
      <c r="AD491" s="840"/>
      <c r="AE491" s="685"/>
      <c r="AF491" s="840"/>
      <c r="AG491" s="840"/>
      <c r="AH491" s="840"/>
      <c r="AI491" s="840"/>
      <c r="AJ491" s="840"/>
      <c r="AK491" s="840"/>
      <c r="AL491" s="841"/>
      <c r="AM491" s="840"/>
      <c r="AN491" s="840"/>
      <c r="AO491" s="840"/>
      <c r="AT491" s="154"/>
      <c r="AU491" s="405"/>
      <c r="AV491" s="405"/>
      <c r="AW491" s="405" t="e">
        <f>VLOOKUP(Таблица7[[#This Row],[Основное оружие]], Оружие[#All], 2, 0)</f>
        <v>#N/A</v>
      </c>
      <c r="AX491" s="405"/>
      <c r="AY491" s="405"/>
      <c r="AZ491" s="405"/>
      <c r="BA491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1" s="405"/>
      <c r="BC491" s="405"/>
      <c r="BD491" s="405"/>
      <c r="BE491" s="405" t="e">
        <f>VLOOKUP(Таблица7[[#This Row],[доспехи]], Броня[#All], 2, 0)+IF(Таблица7[[#This Row],[Доспех коня]]="да", VLOOKUP(Tables!$B$56,Броня[#All], 2, 0), 0)</f>
        <v>#N/A</v>
      </c>
      <c r="BF491" s="405" t="e">
        <f>VLOOKUP(Таблица7[[#This Row],[апгрейд 2]], Броня[#All], 2, 0)+IF(Таблица7[[#This Row],[Доспех коня]]="да", VLOOKUP(Tables!$B$56,Броня[#All], 2, 0), 0)</f>
        <v>#N/A</v>
      </c>
      <c r="BG491" s="405" t="e">
        <f>VLOOKUP(Таблица7[[#This Row],[апгрейд 3]], Броня[#All], 2, 0)+IF(Таблица7[[#This Row],[Доспех коня]]="да", VLOOKUP(Tables!$B$56,Броня[#All], 2, 0), 0)</f>
        <v>#N/A</v>
      </c>
      <c r="BH491" s="405"/>
      <c r="BI491" s="405"/>
      <c r="BJ491" s="405"/>
      <c r="BK491" s="1006"/>
      <c r="BL491" s="1006"/>
      <c r="BM491" s="400"/>
      <c r="BN491" s="1002"/>
      <c r="BO491" s="400"/>
      <c r="BP491" s="400"/>
      <c r="BQ491" s="400"/>
      <c r="BR491" s="400"/>
      <c r="BS491" s="400"/>
      <c r="BT491" s="400"/>
      <c r="BU491" s="1002"/>
      <c r="BV491" s="1002"/>
      <c r="BW491" s="400"/>
      <c r="BX491" s="400"/>
      <c r="BY491" s="400"/>
      <c r="BZ491" s="155"/>
    </row>
    <row r="492" spans="1:78" s="151" customFormat="1" ht="40.5" customHeight="1" x14ac:dyDescent="0.25">
      <c r="A492" s="333">
        <v>491</v>
      </c>
      <c r="B492" s="940" t="s">
        <v>2804</v>
      </c>
      <c r="C492" s="540"/>
      <c r="D492" s="840"/>
      <c r="E492" s="840"/>
      <c r="F492" s="840"/>
      <c r="G492" s="840"/>
      <c r="H492" s="840"/>
      <c r="I492" s="842"/>
      <c r="J492" s="843"/>
      <c r="K492" s="843"/>
      <c r="L492" s="843"/>
      <c r="M492" s="843"/>
      <c r="N492" s="843"/>
      <c r="O492" s="843"/>
      <c r="P492" s="843"/>
      <c r="Q492" s="843"/>
      <c r="R492" s="840"/>
      <c r="S492" s="840"/>
      <c r="T492" s="840"/>
      <c r="U492" s="863"/>
      <c r="V492" s="519"/>
      <c r="W492" s="840"/>
      <c r="X492" s="840"/>
      <c r="Y492" s="486"/>
      <c r="Z492" s="840"/>
      <c r="AA492" s="486"/>
      <c r="AB492" s="840"/>
      <c r="AC492" s="486"/>
      <c r="AD492" s="840"/>
      <c r="AE492" s="685"/>
      <c r="AF492" s="840"/>
      <c r="AG492" s="840"/>
      <c r="AH492" s="840"/>
      <c r="AI492" s="840"/>
      <c r="AJ492" s="840"/>
      <c r="AK492" s="840"/>
      <c r="AL492" s="841"/>
      <c r="AM492" s="840"/>
      <c r="AN492" s="840"/>
      <c r="AO492" s="840"/>
      <c r="AT492" s="154"/>
      <c r="AU492" s="405"/>
      <c r="AV492" s="405"/>
      <c r="AW492" s="405" t="e">
        <f>VLOOKUP(Таблица7[[#This Row],[Основное оружие]], Оружие[#All], 2, 0)</f>
        <v>#N/A</v>
      </c>
      <c r="AX492" s="405"/>
      <c r="AY492" s="405"/>
      <c r="AZ492" s="405"/>
      <c r="BA492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2" s="405"/>
      <c r="BC492" s="405"/>
      <c r="BD492" s="405"/>
      <c r="BE492" s="405" t="e">
        <f>VLOOKUP(Таблица7[[#This Row],[доспехи]], Броня[#All], 2, 0)+IF(Таблица7[[#This Row],[Доспех коня]]="да", VLOOKUP(Tables!$B$56,Броня[#All], 2, 0), 0)</f>
        <v>#N/A</v>
      </c>
      <c r="BF492" s="405" t="e">
        <f>VLOOKUP(Таблица7[[#This Row],[апгрейд 2]], Броня[#All], 2, 0)+IF(Таблица7[[#This Row],[Доспех коня]]="да", VLOOKUP(Tables!$B$56,Броня[#All], 2, 0), 0)</f>
        <v>#N/A</v>
      </c>
      <c r="BG492" s="405" t="e">
        <f>VLOOKUP(Таблица7[[#This Row],[апгрейд 3]], Броня[#All], 2, 0)+IF(Таблица7[[#This Row],[Доспех коня]]="да", VLOOKUP(Tables!$B$56,Броня[#All], 2, 0), 0)</f>
        <v>#N/A</v>
      </c>
      <c r="BH492" s="405"/>
      <c r="BI492" s="405"/>
      <c r="BJ492" s="405"/>
      <c r="BK492" s="1006"/>
      <c r="BL492" s="1006"/>
      <c r="BM492" s="400"/>
      <c r="BN492" s="1002"/>
      <c r="BO492" s="400"/>
      <c r="BP492" s="400"/>
      <c r="BQ492" s="400"/>
      <c r="BR492" s="400"/>
      <c r="BS492" s="400"/>
      <c r="BT492" s="400"/>
      <c r="BU492" s="1002"/>
      <c r="BV492" s="1002"/>
      <c r="BW492" s="400"/>
      <c r="BX492" s="400"/>
      <c r="BY492" s="400"/>
      <c r="BZ492" s="155"/>
    </row>
    <row r="493" spans="1:78" s="151" customFormat="1" ht="40.5" customHeight="1" x14ac:dyDescent="0.25">
      <c r="A493" s="333">
        <v>492</v>
      </c>
      <c r="B493" s="710" t="s">
        <v>2800</v>
      </c>
      <c r="C493" s="540"/>
      <c r="D493" s="840"/>
      <c r="E493" s="840"/>
      <c r="F493" s="840"/>
      <c r="G493" s="840"/>
      <c r="H493" s="840"/>
      <c r="I493" s="842"/>
      <c r="J493" s="843"/>
      <c r="K493" s="843"/>
      <c r="L493" s="843"/>
      <c r="M493" s="843"/>
      <c r="N493" s="843"/>
      <c r="O493" s="843"/>
      <c r="P493" s="843"/>
      <c r="Q493" s="843"/>
      <c r="R493" s="840"/>
      <c r="S493" s="840"/>
      <c r="T493" s="840"/>
      <c r="U493" s="863"/>
      <c r="V493" s="519"/>
      <c r="W493" s="840"/>
      <c r="X493" s="840"/>
      <c r="Y493" s="486"/>
      <c r="Z493" s="840"/>
      <c r="AA493" s="486"/>
      <c r="AB493" s="840"/>
      <c r="AC493" s="486"/>
      <c r="AD493" s="840"/>
      <c r="AE493" s="685"/>
      <c r="AF493" s="840"/>
      <c r="AG493" s="840"/>
      <c r="AH493" s="840"/>
      <c r="AI493" s="840"/>
      <c r="AJ493" s="840"/>
      <c r="AK493" s="840"/>
      <c r="AL493" s="841"/>
      <c r="AM493" s="840"/>
      <c r="AN493" s="840"/>
      <c r="AO493" s="840"/>
      <c r="AT493" s="154"/>
      <c r="AU493" s="405"/>
      <c r="AV493" s="405"/>
      <c r="AW493" s="405" t="e">
        <f>VLOOKUP(Таблица7[[#This Row],[Основное оружие]], Оружие[#All], 2, 0)</f>
        <v>#N/A</v>
      </c>
      <c r="AX493" s="405"/>
      <c r="AY493" s="405"/>
      <c r="AZ493" s="405"/>
      <c r="BA493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3" s="405"/>
      <c r="BC493" s="405"/>
      <c r="BD493" s="405"/>
      <c r="BE493" s="405" t="e">
        <f>VLOOKUP(Таблица7[[#This Row],[доспехи]], Броня[#All], 2, 0)+IF(Таблица7[[#This Row],[Доспех коня]]="да", VLOOKUP(Tables!$B$56,Броня[#All], 2, 0), 0)</f>
        <v>#N/A</v>
      </c>
      <c r="BF493" s="405" t="e">
        <f>VLOOKUP(Таблица7[[#This Row],[апгрейд 2]], Броня[#All], 2, 0)+IF(Таблица7[[#This Row],[Доспех коня]]="да", VLOOKUP(Tables!$B$56,Броня[#All], 2, 0), 0)</f>
        <v>#N/A</v>
      </c>
      <c r="BG493" s="405" t="e">
        <f>VLOOKUP(Таблица7[[#This Row],[апгрейд 3]], Броня[#All], 2, 0)+IF(Таблица7[[#This Row],[Доспех коня]]="да", VLOOKUP(Tables!$B$56,Броня[#All], 2, 0), 0)</f>
        <v>#N/A</v>
      </c>
      <c r="BH493" s="405"/>
      <c r="BI493" s="405"/>
      <c r="BJ493" s="405"/>
      <c r="BK493" s="1006"/>
      <c r="BL493" s="1006"/>
      <c r="BM493" s="400"/>
      <c r="BN493" s="1002"/>
      <c r="BO493" s="400"/>
      <c r="BP493" s="400"/>
      <c r="BQ493" s="400"/>
      <c r="BR493" s="400"/>
      <c r="BS493" s="400"/>
      <c r="BT493" s="400"/>
      <c r="BU493" s="1002"/>
      <c r="BV493" s="1002"/>
      <c r="BW493" s="400"/>
      <c r="BX493" s="400"/>
      <c r="BY493" s="400"/>
      <c r="BZ493" s="155"/>
    </row>
    <row r="494" spans="1:78" s="151" customFormat="1" ht="40.5" customHeight="1" x14ac:dyDescent="0.25">
      <c r="A494" s="333">
        <v>493</v>
      </c>
      <c r="B494" s="710" t="s">
        <v>2803</v>
      </c>
      <c r="C494" s="540"/>
      <c r="D494" s="840"/>
      <c r="E494" s="840"/>
      <c r="F494" s="840"/>
      <c r="G494" s="840"/>
      <c r="H494" s="840"/>
      <c r="I494" s="842"/>
      <c r="J494" s="843"/>
      <c r="K494" s="843"/>
      <c r="L494" s="843"/>
      <c r="M494" s="843"/>
      <c r="N494" s="843"/>
      <c r="O494" s="843"/>
      <c r="P494" s="843"/>
      <c r="Q494" s="843"/>
      <c r="R494" s="840"/>
      <c r="S494" s="840"/>
      <c r="T494" s="840"/>
      <c r="U494" s="863"/>
      <c r="V494" s="519"/>
      <c r="W494" s="840"/>
      <c r="X494" s="840"/>
      <c r="Y494" s="486"/>
      <c r="Z494" s="840"/>
      <c r="AA494" s="486"/>
      <c r="AB494" s="840"/>
      <c r="AC494" s="486"/>
      <c r="AD494" s="840"/>
      <c r="AE494" s="685"/>
      <c r="AF494" s="840"/>
      <c r="AG494" s="840"/>
      <c r="AH494" s="840"/>
      <c r="AI494" s="840"/>
      <c r="AJ494" s="840"/>
      <c r="AK494" s="840"/>
      <c r="AL494" s="841"/>
      <c r="AM494" s="840"/>
      <c r="AN494" s="840"/>
      <c r="AO494" s="840"/>
      <c r="AT494" s="154"/>
      <c r="AU494" s="405"/>
      <c r="AV494" s="405"/>
      <c r="AW494" s="405" t="e">
        <f>VLOOKUP(Таблица7[[#This Row],[Основное оружие]], Оружие[#All], 2, 0)</f>
        <v>#N/A</v>
      </c>
      <c r="AX494" s="405"/>
      <c r="AY494" s="405"/>
      <c r="AZ494" s="405"/>
      <c r="BA494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4" s="405"/>
      <c r="BC494" s="405"/>
      <c r="BD494" s="405"/>
      <c r="BE494" s="405" t="e">
        <f>VLOOKUP(Таблица7[[#This Row],[доспехи]], Броня[#All], 2, 0)+IF(Таблица7[[#This Row],[Доспех коня]]="да", VLOOKUP(Tables!$B$56,Броня[#All], 2, 0), 0)</f>
        <v>#N/A</v>
      </c>
      <c r="BF494" s="405" t="e">
        <f>VLOOKUP(Таблица7[[#This Row],[апгрейд 2]], Броня[#All], 2, 0)+IF(Таблица7[[#This Row],[Доспех коня]]="да", VLOOKUP(Tables!$B$56,Броня[#All], 2, 0), 0)</f>
        <v>#N/A</v>
      </c>
      <c r="BG494" s="405" t="e">
        <f>VLOOKUP(Таблица7[[#This Row],[апгрейд 3]], Броня[#All], 2, 0)+IF(Таблица7[[#This Row],[Доспех коня]]="да", VLOOKUP(Tables!$B$56,Броня[#All], 2, 0), 0)</f>
        <v>#N/A</v>
      </c>
      <c r="BH494" s="405"/>
      <c r="BI494" s="405"/>
      <c r="BJ494" s="405"/>
      <c r="BK494" s="1006"/>
      <c r="BL494" s="1006"/>
      <c r="BM494" s="400"/>
      <c r="BN494" s="1002"/>
      <c r="BO494" s="400"/>
      <c r="BP494" s="400"/>
      <c r="BQ494" s="400"/>
      <c r="BR494" s="400"/>
      <c r="BS494" s="400"/>
      <c r="BT494" s="400"/>
      <c r="BU494" s="1002"/>
      <c r="BV494" s="1002"/>
      <c r="BW494" s="400"/>
      <c r="BX494" s="400"/>
      <c r="BY494" s="400"/>
      <c r="BZ494" s="155"/>
    </row>
    <row r="495" spans="1:78" s="151" customFormat="1" ht="40.5" customHeight="1" x14ac:dyDescent="0.25">
      <c r="A495" s="333">
        <v>494</v>
      </c>
      <c r="B495" s="710" t="s">
        <v>2805</v>
      </c>
      <c r="C495" s="540"/>
      <c r="D495" s="840"/>
      <c r="E495" s="840"/>
      <c r="F495" s="840"/>
      <c r="G495" s="840"/>
      <c r="H495" s="840"/>
      <c r="I495" s="842"/>
      <c r="J495" s="843"/>
      <c r="K495" s="843"/>
      <c r="L495" s="843"/>
      <c r="M495" s="843"/>
      <c r="N495" s="843"/>
      <c r="O495" s="843"/>
      <c r="P495" s="843"/>
      <c r="Q495" s="843"/>
      <c r="R495" s="840"/>
      <c r="S495" s="840"/>
      <c r="T495" s="840"/>
      <c r="U495" s="863"/>
      <c r="V495" s="519"/>
      <c r="W495" s="840"/>
      <c r="X495" s="840"/>
      <c r="Y495" s="486"/>
      <c r="Z495" s="840"/>
      <c r="AA495" s="486"/>
      <c r="AB495" s="840"/>
      <c r="AC495" s="486"/>
      <c r="AD495" s="840"/>
      <c r="AE495" s="685"/>
      <c r="AF495" s="840"/>
      <c r="AG495" s="840"/>
      <c r="AH495" s="840"/>
      <c r="AI495" s="840"/>
      <c r="AJ495" s="840"/>
      <c r="AK495" s="840"/>
      <c r="AL495" s="841"/>
      <c r="AM495" s="840"/>
      <c r="AN495" s="840"/>
      <c r="AO495" s="840"/>
      <c r="AT495" s="154"/>
      <c r="AU495" s="405"/>
      <c r="AV495" s="405"/>
      <c r="AW495" s="405" t="e">
        <f>VLOOKUP(Таблица7[[#This Row],[Основное оружие]], Оружие[#All], 2, 0)</f>
        <v>#N/A</v>
      </c>
      <c r="AX495" s="405"/>
      <c r="AY495" s="405"/>
      <c r="AZ495" s="405"/>
      <c r="BA495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5" s="405"/>
      <c r="BC495" s="405"/>
      <c r="BD495" s="405"/>
      <c r="BE495" s="405" t="e">
        <f>VLOOKUP(Таблица7[[#This Row],[доспехи]], Броня[#All], 2, 0)+IF(Таблица7[[#This Row],[Доспех коня]]="да", VLOOKUP(Tables!$B$56,Броня[#All], 2, 0), 0)</f>
        <v>#N/A</v>
      </c>
      <c r="BF495" s="405" t="e">
        <f>VLOOKUP(Таблица7[[#This Row],[апгрейд 2]], Броня[#All], 2, 0)+IF(Таблица7[[#This Row],[Доспех коня]]="да", VLOOKUP(Tables!$B$56,Броня[#All], 2, 0), 0)</f>
        <v>#N/A</v>
      </c>
      <c r="BG495" s="405" t="e">
        <f>VLOOKUP(Таблица7[[#This Row],[апгрейд 3]], Броня[#All], 2, 0)+IF(Таблица7[[#This Row],[Доспех коня]]="да", VLOOKUP(Tables!$B$56,Броня[#All], 2, 0), 0)</f>
        <v>#N/A</v>
      </c>
      <c r="BH495" s="405"/>
      <c r="BI495" s="405"/>
      <c r="BJ495" s="405"/>
      <c r="BK495" s="1006"/>
      <c r="BL495" s="1006"/>
      <c r="BM495" s="400"/>
      <c r="BN495" s="1002"/>
      <c r="BO495" s="400"/>
      <c r="BP495" s="400"/>
      <c r="BQ495" s="400"/>
      <c r="BR495" s="400"/>
      <c r="BS495" s="400"/>
      <c r="BT495" s="400"/>
      <c r="BU495" s="1002"/>
      <c r="BV495" s="1002"/>
      <c r="BW495" s="400"/>
      <c r="BX495" s="400"/>
      <c r="BY495" s="400"/>
      <c r="BZ495" s="155"/>
    </row>
    <row r="496" spans="1:78" s="151" customFormat="1" ht="40.5" customHeight="1" x14ac:dyDescent="0.25">
      <c r="A496" s="333">
        <v>495</v>
      </c>
      <c r="B496" s="710" t="s">
        <v>2502</v>
      </c>
      <c r="C496" s="540"/>
      <c r="D496" s="840"/>
      <c r="E496" s="840"/>
      <c r="F496" s="840"/>
      <c r="G496" s="840"/>
      <c r="H496" s="840"/>
      <c r="I496" s="842"/>
      <c r="J496" s="843"/>
      <c r="K496" s="843"/>
      <c r="L496" s="843"/>
      <c r="M496" s="843"/>
      <c r="N496" s="843"/>
      <c r="O496" s="843"/>
      <c r="P496" s="843"/>
      <c r="Q496" s="843"/>
      <c r="R496" s="840"/>
      <c r="S496" s="840"/>
      <c r="T496" s="840"/>
      <c r="U496" s="863"/>
      <c r="V496" s="519"/>
      <c r="W496" s="840"/>
      <c r="X496" s="840"/>
      <c r="Y496" s="486"/>
      <c r="Z496" s="840"/>
      <c r="AA496" s="486"/>
      <c r="AB496" s="840"/>
      <c r="AC496" s="486"/>
      <c r="AD496" s="840"/>
      <c r="AE496" s="685"/>
      <c r="AF496" s="840"/>
      <c r="AG496" s="840"/>
      <c r="AH496" s="840"/>
      <c r="AI496" s="840"/>
      <c r="AJ496" s="840"/>
      <c r="AK496" s="840"/>
      <c r="AL496" s="841"/>
      <c r="AM496" s="840"/>
      <c r="AN496" s="840"/>
      <c r="AO496" s="840"/>
      <c r="AT496" s="154"/>
      <c r="AU496" s="405"/>
      <c r="AV496" s="405"/>
      <c r="AW496" s="405" t="e">
        <f>VLOOKUP(Таблица7[[#This Row],[Основное оружие]], Оружие[#All], 2, 0)</f>
        <v>#N/A</v>
      </c>
      <c r="AX496" s="405"/>
      <c r="AY496" s="405"/>
      <c r="AZ496" s="405"/>
      <c r="BA496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6" s="405"/>
      <c r="BC496" s="405"/>
      <c r="BD496" s="405"/>
      <c r="BE496" s="405" t="e">
        <f>VLOOKUP(Таблица7[[#This Row],[доспехи]], Броня[#All], 2, 0)+IF(Таблица7[[#This Row],[Доспех коня]]="да", VLOOKUP(Tables!$B$56,Броня[#All], 2, 0), 0)</f>
        <v>#N/A</v>
      </c>
      <c r="BF496" s="405" t="e">
        <f>VLOOKUP(Таблица7[[#This Row],[апгрейд 2]], Броня[#All], 2, 0)+IF(Таблица7[[#This Row],[Доспех коня]]="да", VLOOKUP(Tables!$B$56,Броня[#All], 2, 0), 0)</f>
        <v>#N/A</v>
      </c>
      <c r="BG496" s="405" t="e">
        <f>VLOOKUP(Таблица7[[#This Row],[апгрейд 3]], Броня[#All], 2, 0)+IF(Таблица7[[#This Row],[Доспех коня]]="да", VLOOKUP(Tables!$B$56,Броня[#All], 2, 0), 0)</f>
        <v>#N/A</v>
      </c>
      <c r="BH496" s="405"/>
      <c r="BI496" s="405"/>
      <c r="BJ496" s="405"/>
      <c r="BK496" s="1006"/>
      <c r="BL496" s="1006"/>
      <c r="BM496" s="400"/>
      <c r="BN496" s="1002"/>
      <c r="BO496" s="400"/>
      <c r="BP496" s="400"/>
      <c r="BQ496" s="400"/>
      <c r="BR496" s="400"/>
      <c r="BS496" s="400"/>
      <c r="BT496" s="400"/>
      <c r="BU496" s="1002"/>
      <c r="BV496" s="1002"/>
      <c r="BW496" s="400"/>
      <c r="BX496" s="400"/>
      <c r="BY496" s="400"/>
      <c r="BZ496" s="155"/>
    </row>
    <row r="497" spans="1:78" s="151" customFormat="1" ht="40.5" customHeight="1" x14ac:dyDescent="0.25">
      <c r="A497" s="333">
        <v>496</v>
      </c>
      <c r="B497" s="710" t="s">
        <v>2503</v>
      </c>
      <c r="C497" s="540"/>
      <c r="D497" s="840"/>
      <c r="E497" s="840"/>
      <c r="F497" s="840"/>
      <c r="G497" s="840"/>
      <c r="H497" s="840"/>
      <c r="I497" s="842"/>
      <c r="J497" s="843"/>
      <c r="K497" s="843"/>
      <c r="L497" s="843"/>
      <c r="M497" s="843"/>
      <c r="N497" s="843"/>
      <c r="O497" s="843"/>
      <c r="P497" s="843"/>
      <c r="Q497" s="843"/>
      <c r="R497" s="840"/>
      <c r="S497" s="840"/>
      <c r="T497" s="840"/>
      <c r="U497" s="863"/>
      <c r="V497" s="519"/>
      <c r="W497" s="840"/>
      <c r="X497" s="840"/>
      <c r="Y497" s="486"/>
      <c r="Z497" s="840"/>
      <c r="AA497" s="486"/>
      <c r="AB497" s="840"/>
      <c r="AC497" s="486"/>
      <c r="AD497" s="840"/>
      <c r="AE497" s="685"/>
      <c r="AF497" s="840"/>
      <c r="AG497" s="840"/>
      <c r="AH497" s="840"/>
      <c r="AI497" s="840"/>
      <c r="AJ497" s="840"/>
      <c r="AK497" s="840"/>
      <c r="AL497" s="841"/>
      <c r="AM497" s="840"/>
      <c r="AN497" s="840"/>
      <c r="AO497" s="840"/>
      <c r="AT497" s="154"/>
      <c r="AU497" s="405"/>
      <c r="AV497" s="405"/>
      <c r="AW497" s="405" t="e">
        <f>VLOOKUP(Таблица7[[#This Row],[Основное оружие]], Оружие[#All], 2, 0)</f>
        <v>#N/A</v>
      </c>
      <c r="AX497" s="405"/>
      <c r="AY497" s="405"/>
      <c r="AZ497" s="405"/>
      <c r="BA497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7" s="405"/>
      <c r="BC497" s="405"/>
      <c r="BD497" s="405"/>
      <c r="BE497" s="405" t="e">
        <f>VLOOKUP(Таблица7[[#This Row],[доспехи]], Броня[#All], 2, 0)+IF(Таблица7[[#This Row],[Доспех коня]]="да", VLOOKUP(Tables!$B$56,Броня[#All], 2, 0), 0)</f>
        <v>#N/A</v>
      </c>
      <c r="BF497" s="405" t="e">
        <f>VLOOKUP(Таблица7[[#This Row],[апгрейд 2]], Броня[#All], 2, 0)+IF(Таблица7[[#This Row],[Доспех коня]]="да", VLOOKUP(Tables!$B$56,Броня[#All], 2, 0), 0)</f>
        <v>#N/A</v>
      </c>
      <c r="BG497" s="405" t="e">
        <f>VLOOKUP(Таблица7[[#This Row],[апгрейд 3]], Броня[#All], 2, 0)+IF(Таблица7[[#This Row],[Доспех коня]]="да", VLOOKUP(Tables!$B$56,Броня[#All], 2, 0), 0)</f>
        <v>#N/A</v>
      </c>
      <c r="BH497" s="405"/>
      <c r="BI497" s="405"/>
      <c r="BJ497" s="405"/>
      <c r="BK497" s="1006"/>
      <c r="BL497" s="1006"/>
      <c r="BM497" s="400"/>
      <c r="BN497" s="1002"/>
      <c r="BO497" s="400"/>
      <c r="BP497" s="400"/>
      <c r="BQ497" s="400"/>
      <c r="BR497" s="400"/>
      <c r="BS497" s="400"/>
      <c r="BT497" s="400"/>
      <c r="BU497" s="1002"/>
      <c r="BV497" s="1002"/>
      <c r="BW497" s="400"/>
      <c r="BX497" s="400"/>
      <c r="BY497" s="400"/>
      <c r="BZ497" s="155"/>
    </row>
    <row r="498" spans="1:78" s="151" customFormat="1" ht="40.5" customHeight="1" x14ac:dyDescent="0.25">
      <c r="A498" s="333">
        <v>497</v>
      </c>
      <c r="B498" s="710" t="s">
        <v>2504</v>
      </c>
      <c r="C498" s="540"/>
      <c r="D498" s="840"/>
      <c r="E498" s="840"/>
      <c r="F498" s="840"/>
      <c r="G498" s="840"/>
      <c r="H498" s="840"/>
      <c r="I498" s="842"/>
      <c r="J498" s="843"/>
      <c r="K498" s="843"/>
      <c r="L498" s="843"/>
      <c r="M498" s="843"/>
      <c r="N498" s="843"/>
      <c r="O498" s="843"/>
      <c r="P498" s="843"/>
      <c r="Q498" s="843"/>
      <c r="R498" s="840"/>
      <c r="S498" s="840"/>
      <c r="T498" s="840"/>
      <c r="U498" s="863"/>
      <c r="V498" s="519"/>
      <c r="W498" s="840"/>
      <c r="X498" s="840"/>
      <c r="Y498" s="486"/>
      <c r="Z498" s="840"/>
      <c r="AA498" s="486"/>
      <c r="AB498" s="840"/>
      <c r="AC498" s="486"/>
      <c r="AD498" s="840"/>
      <c r="AE498" s="685"/>
      <c r="AF498" s="840"/>
      <c r="AG498" s="840"/>
      <c r="AH498" s="840"/>
      <c r="AI498" s="840"/>
      <c r="AJ498" s="840"/>
      <c r="AK498" s="840"/>
      <c r="AL498" s="841"/>
      <c r="AM498" s="840"/>
      <c r="AN498" s="840"/>
      <c r="AO498" s="840"/>
      <c r="AT498" s="154"/>
      <c r="AU498" s="405"/>
      <c r="AV498" s="405"/>
      <c r="AW498" s="405" t="e">
        <f>VLOOKUP(Таблица7[[#This Row],[Основное оружие]], Оружие[#All], 2, 0)</f>
        <v>#N/A</v>
      </c>
      <c r="AX498" s="405"/>
      <c r="AY498" s="405"/>
      <c r="AZ498" s="405"/>
      <c r="BA498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8" s="405"/>
      <c r="BC498" s="405"/>
      <c r="BD498" s="405"/>
      <c r="BE498" s="405" t="e">
        <f>VLOOKUP(Таблица7[[#This Row],[доспехи]], Броня[#All], 2, 0)+IF(Таблица7[[#This Row],[Доспех коня]]="да", VLOOKUP(Tables!$B$56,Броня[#All], 2, 0), 0)</f>
        <v>#N/A</v>
      </c>
      <c r="BF498" s="405" t="e">
        <f>VLOOKUP(Таблица7[[#This Row],[апгрейд 2]], Броня[#All], 2, 0)+IF(Таблица7[[#This Row],[Доспех коня]]="да", VLOOKUP(Tables!$B$56,Броня[#All], 2, 0), 0)</f>
        <v>#N/A</v>
      </c>
      <c r="BG498" s="405" t="e">
        <f>VLOOKUP(Таблица7[[#This Row],[апгрейд 3]], Броня[#All], 2, 0)+IF(Таблица7[[#This Row],[Доспех коня]]="да", VLOOKUP(Tables!$B$56,Броня[#All], 2, 0), 0)</f>
        <v>#N/A</v>
      </c>
      <c r="BH498" s="405"/>
      <c r="BI498" s="405"/>
      <c r="BJ498" s="405"/>
      <c r="BK498" s="1006"/>
      <c r="BL498" s="1006"/>
      <c r="BM498" s="400"/>
      <c r="BN498" s="1002"/>
      <c r="BO498" s="400"/>
      <c r="BP498" s="400"/>
      <c r="BQ498" s="400"/>
      <c r="BR498" s="400"/>
      <c r="BS498" s="400"/>
      <c r="BT498" s="400"/>
      <c r="BU498" s="1002"/>
      <c r="BV498" s="1002"/>
      <c r="BW498" s="400"/>
      <c r="BX498" s="400"/>
      <c r="BY498" s="400"/>
      <c r="BZ498" s="155"/>
    </row>
    <row r="499" spans="1:78" s="151" customFormat="1" ht="40.5" customHeight="1" x14ac:dyDescent="0.25">
      <c r="A499" s="333">
        <v>498</v>
      </c>
      <c r="B499" s="710" t="s">
        <v>2505</v>
      </c>
      <c r="C499" s="540"/>
      <c r="D499" s="840"/>
      <c r="E499" s="840"/>
      <c r="F499" s="840"/>
      <c r="G499" s="840"/>
      <c r="H499" s="840"/>
      <c r="I499" s="842"/>
      <c r="J499" s="843"/>
      <c r="K499" s="843"/>
      <c r="L499" s="843"/>
      <c r="M499" s="843"/>
      <c r="N499" s="843"/>
      <c r="O499" s="843"/>
      <c r="P499" s="843"/>
      <c r="Q499" s="843"/>
      <c r="R499" s="840"/>
      <c r="S499" s="840"/>
      <c r="T499" s="840"/>
      <c r="U499" s="863"/>
      <c r="V499" s="519"/>
      <c r="W499" s="840"/>
      <c r="X499" s="840"/>
      <c r="Y499" s="486"/>
      <c r="Z499" s="840"/>
      <c r="AA499" s="486"/>
      <c r="AB499" s="840"/>
      <c r="AC499" s="486"/>
      <c r="AD499" s="840"/>
      <c r="AE499" s="685"/>
      <c r="AF499" s="840"/>
      <c r="AG499" s="840"/>
      <c r="AH499" s="840"/>
      <c r="AI499" s="840"/>
      <c r="AJ499" s="840"/>
      <c r="AK499" s="840"/>
      <c r="AL499" s="841"/>
      <c r="AM499" s="840"/>
      <c r="AN499" s="840"/>
      <c r="AO499" s="840"/>
      <c r="AT499" s="154"/>
      <c r="AU499" s="405"/>
      <c r="AV499" s="405"/>
      <c r="AW499" s="405" t="e">
        <f>VLOOKUP(Таблица7[[#This Row],[Основное оружие]], Оружие[#All], 2, 0)</f>
        <v>#N/A</v>
      </c>
      <c r="AX499" s="405"/>
      <c r="AY499" s="405"/>
      <c r="AZ499" s="405"/>
      <c r="BA499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499" s="405"/>
      <c r="BC499" s="405"/>
      <c r="BD499" s="405"/>
      <c r="BE499" s="405" t="e">
        <f>VLOOKUP(Таблица7[[#This Row],[доспехи]], Броня[#All], 2, 0)+IF(Таблица7[[#This Row],[Доспех коня]]="да", VLOOKUP(Tables!$B$56,Броня[#All], 2, 0), 0)</f>
        <v>#N/A</v>
      </c>
      <c r="BF499" s="405" t="e">
        <f>VLOOKUP(Таблица7[[#This Row],[апгрейд 2]], Броня[#All], 2, 0)+IF(Таблица7[[#This Row],[Доспех коня]]="да", VLOOKUP(Tables!$B$56,Броня[#All], 2, 0), 0)</f>
        <v>#N/A</v>
      </c>
      <c r="BG499" s="405" t="e">
        <f>VLOOKUP(Таблица7[[#This Row],[апгрейд 3]], Броня[#All], 2, 0)+IF(Таблица7[[#This Row],[Доспех коня]]="да", VLOOKUP(Tables!$B$56,Броня[#All], 2, 0), 0)</f>
        <v>#N/A</v>
      </c>
      <c r="BH499" s="405"/>
      <c r="BI499" s="405"/>
      <c r="BJ499" s="405"/>
      <c r="BK499" s="1006"/>
      <c r="BL499" s="1006"/>
      <c r="BM499" s="400"/>
      <c r="BN499" s="1002"/>
      <c r="BO499" s="400"/>
      <c r="BP499" s="400"/>
      <c r="BQ499" s="400"/>
      <c r="BR499" s="400"/>
      <c r="BS499" s="400"/>
      <c r="BT499" s="400"/>
      <c r="BU499" s="1002"/>
      <c r="BV499" s="1002"/>
      <c r="BW499" s="400"/>
      <c r="BX499" s="400"/>
      <c r="BY499" s="400"/>
      <c r="BZ499" s="155"/>
    </row>
    <row r="500" spans="1:78" s="151" customFormat="1" ht="40.5" customHeight="1" x14ac:dyDescent="0.25">
      <c r="A500" s="333">
        <v>499</v>
      </c>
      <c r="B500" s="710" t="s">
        <v>2506</v>
      </c>
      <c r="C500" s="540"/>
      <c r="D500" s="840"/>
      <c r="E500" s="840"/>
      <c r="F500" s="840"/>
      <c r="G500" s="840"/>
      <c r="H500" s="840"/>
      <c r="I500" s="842"/>
      <c r="J500" s="843"/>
      <c r="K500" s="843"/>
      <c r="L500" s="843"/>
      <c r="M500" s="843"/>
      <c r="N500" s="843"/>
      <c r="O500" s="843"/>
      <c r="P500" s="843"/>
      <c r="Q500" s="843"/>
      <c r="R500" s="840"/>
      <c r="S500" s="840"/>
      <c r="T500" s="840"/>
      <c r="U500" s="863"/>
      <c r="V500" s="519"/>
      <c r="W500" s="840"/>
      <c r="X500" s="840"/>
      <c r="Y500" s="486"/>
      <c r="Z500" s="840"/>
      <c r="AA500" s="486"/>
      <c r="AB500" s="840"/>
      <c r="AC500" s="486"/>
      <c r="AD500" s="840"/>
      <c r="AE500" s="685"/>
      <c r="AF500" s="840"/>
      <c r="AG500" s="840"/>
      <c r="AH500" s="840"/>
      <c r="AI500" s="840"/>
      <c r="AJ500" s="840"/>
      <c r="AK500" s="840"/>
      <c r="AL500" s="841"/>
      <c r="AM500" s="840"/>
      <c r="AN500" s="840"/>
      <c r="AO500" s="840"/>
      <c r="AT500" s="154"/>
      <c r="AU500" s="405"/>
      <c r="AV500" s="405"/>
      <c r="AW500" s="405" t="e">
        <f>VLOOKUP(Таблица7[[#This Row],[Основное оружие]], Оружие[#All], 2, 0)</f>
        <v>#N/A</v>
      </c>
      <c r="AX500" s="405"/>
      <c r="AY500" s="405"/>
      <c r="AZ500" s="405"/>
      <c r="BA500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500" s="405"/>
      <c r="BC500" s="405"/>
      <c r="BD500" s="405"/>
      <c r="BE500" s="405" t="e">
        <f>VLOOKUP(Таблица7[[#This Row],[доспехи]], Броня[#All], 2, 0)+IF(Таблица7[[#This Row],[Доспех коня]]="да", VLOOKUP(Tables!$B$56,Броня[#All], 2, 0), 0)</f>
        <v>#N/A</v>
      </c>
      <c r="BF500" s="405" t="e">
        <f>VLOOKUP(Таблица7[[#This Row],[апгрейд 2]], Броня[#All], 2, 0)+IF(Таблица7[[#This Row],[Доспех коня]]="да", VLOOKUP(Tables!$B$56,Броня[#All], 2, 0), 0)</f>
        <v>#N/A</v>
      </c>
      <c r="BG500" s="405" t="e">
        <f>VLOOKUP(Таблица7[[#This Row],[апгрейд 3]], Броня[#All], 2, 0)+IF(Таблица7[[#This Row],[Доспех коня]]="да", VLOOKUP(Tables!$B$56,Броня[#All], 2, 0), 0)</f>
        <v>#N/A</v>
      </c>
      <c r="BH500" s="405"/>
      <c r="BI500" s="405"/>
      <c r="BJ500" s="405"/>
      <c r="BK500" s="1006"/>
      <c r="BL500" s="1006"/>
      <c r="BM500" s="400"/>
      <c r="BN500" s="1002"/>
      <c r="BO500" s="400"/>
      <c r="BP500" s="400"/>
      <c r="BQ500" s="400"/>
      <c r="BR500" s="400"/>
      <c r="BS500" s="400"/>
      <c r="BT500" s="400"/>
      <c r="BU500" s="1002"/>
      <c r="BV500" s="1002"/>
      <c r="BW500" s="400"/>
      <c r="BX500" s="400"/>
      <c r="BY500" s="400"/>
      <c r="BZ500" s="155"/>
    </row>
    <row r="501" spans="1:78" s="329" customFormat="1" ht="40.5" customHeight="1" x14ac:dyDescent="0.25">
      <c r="A501" s="333">
        <v>500</v>
      </c>
      <c r="B501" s="571" t="s">
        <v>2359</v>
      </c>
      <c r="C501" s="551" t="s">
        <v>2360</v>
      </c>
      <c r="D501" s="329" t="s">
        <v>1556</v>
      </c>
      <c r="E501" s="674" t="s">
        <v>1546</v>
      </c>
      <c r="F501" s="674"/>
      <c r="G501" s="674"/>
      <c r="H501" s="674"/>
      <c r="I501" s="664">
        <v>5.0000000000000001E-3</v>
      </c>
      <c r="J501" s="634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0.5</v>
      </c>
      <c r="K501" s="634">
        <f>Таблица7[[#This Row],[Размер отряда минимум]]*1.25</f>
        <v>0.625</v>
      </c>
      <c r="L501" s="634">
        <f>Таблица7[[#This Row],[Размер отряда норма]]*1.5</f>
        <v>0.9375</v>
      </c>
      <c r="M501" s="634">
        <f>Таблица7[[#This Row],[Размер отряда минимум]]*2.5</f>
        <v>1.25</v>
      </c>
      <c r="N501" s="634"/>
      <c r="O501" s="634"/>
      <c r="P501" s="634"/>
      <c r="Q501" s="634"/>
      <c r="R501" s="572" t="s">
        <v>1135</v>
      </c>
      <c r="S501" s="861" t="s">
        <v>2072</v>
      </c>
      <c r="T501" s="673" t="s">
        <v>1032</v>
      </c>
      <c r="U501" s="871" t="s">
        <v>2361</v>
      </c>
      <c r="V501" s="573"/>
      <c r="W501" s="673" t="s">
        <v>984</v>
      </c>
      <c r="X501" s="329" t="s">
        <v>1686</v>
      </c>
      <c r="Z501" s="329" t="s">
        <v>1435</v>
      </c>
      <c r="AD501" s="339" t="s">
        <v>985</v>
      </c>
      <c r="AE501" s="339"/>
      <c r="AF501" s="675" t="s">
        <v>985</v>
      </c>
      <c r="AG501" s="675"/>
      <c r="AH501" s="675" t="s">
        <v>985</v>
      </c>
      <c r="AI501" s="675"/>
      <c r="AJ501" s="572" t="s">
        <v>985</v>
      </c>
      <c r="AK501" s="572"/>
      <c r="AL501" s="575" t="s">
        <v>985</v>
      </c>
      <c r="AM501" s="572" t="s">
        <v>1136</v>
      </c>
      <c r="AN501" s="572" t="s">
        <v>1136</v>
      </c>
      <c r="AO501" s="861" t="s">
        <v>2072</v>
      </c>
      <c r="AP501" s="576" t="s">
        <v>1670</v>
      </c>
      <c r="AQ501" s="576"/>
      <c r="AS501" s="329">
        <v>1500</v>
      </c>
      <c r="AT501" s="573"/>
      <c r="AU501" s="408">
        <v>1</v>
      </c>
      <c r="AV501" s="405" t="s">
        <v>1826</v>
      </c>
      <c r="AW501" s="408">
        <f>VLOOKUP(Таблица7[[#This Row],[Основное оружие]], Оружие[#All], 2, 0)</f>
        <v>0</v>
      </c>
      <c r="AX501" s="408">
        <f>IF(ISBLANK(Таблица7[[#This Row],[Дополнительное оружие]]),"", VLOOKUP(Таблица7[[#This Row],[Дополнительное оружие]], Оружие[#All], 2, 0))</f>
        <v>1</v>
      </c>
      <c r="AY501" s="408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3</v>
      </c>
      <c r="AZ501" s="40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501" s="703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4</v>
      </c>
      <c r="BB501" s="408">
        <f>VLOOKUP(Таблица7[[#This Row],[Основное оружие]], Оружие[#All], 3, 0)</f>
        <v>1</v>
      </c>
      <c r="BC501" s="408">
        <f>IF(ISBLANK(Таблица7[[#This Row],[Дополнительное оружие]]),"", VLOOKUP(Таблица7[[#This Row],[Дополнительное оружие]], Оружие[#All], 3, 0))</f>
        <v>1</v>
      </c>
      <c r="BD501" s="408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01" s="408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501" s="408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01" s="408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01" s="40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501" s="408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01" s="408">
        <f>Таблица7[[#This Row],[Броня]]+Таблица7[[#This Row],[Щит]]+Таблица7[[#This Row],[навык защиты]]</f>
        <v>3</v>
      </c>
      <c r="BK501" s="1012"/>
      <c r="BL501" s="1012"/>
      <c r="BM501" s="577"/>
      <c r="BN501" s="1004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01" s="577">
        <v>0</v>
      </c>
      <c r="BP501" s="577">
        <v>1</v>
      </c>
      <c r="BQ501" s="577">
        <v>2</v>
      </c>
      <c r="BR501" s="577">
        <v>2</v>
      </c>
      <c r="BS501" s="577">
        <v>-2</v>
      </c>
      <c r="BT501" s="697" t="s">
        <v>1832</v>
      </c>
      <c r="BU501" s="1002" t="s">
        <v>1841</v>
      </c>
      <c r="BV501" s="1002" t="s">
        <v>1842</v>
      </c>
      <c r="BW501" s="577"/>
      <c r="BX501" s="577"/>
      <c r="BY501" s="577"/>
      <c r="BZ501" s="330"/>
    </row>
    <row r="502" spans="1:78" s="141" customFormat="1" ht="40.5" customHeight="1" x14ac:dyDescent="0.25">
      <c r="A502" s="333">
        <v>501</v>
      </c>
      <c r="B502" s="671" t="s">
        <v>1752</v>
      </c>
      <c r="C502" s="671"/>
      <c r="D502" s="520" t="s">
        <v>1556</v>
      </c>
      <c r="E502" s="141" t="s">
        <v>1448</v>
      </c>
      <c r="I502" s="641">
        <v>0.9</v>
      </c>
      <c r="J502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02" s="625">
        <f>Таблица7[[#This Row],[Размер отряда минимум]]*1.25</f>
        <v>112.5</v>
      </c>
      <c r="L502" s="625">
        <f>Таблица7[[#This Row],[Размер отряда норма]]*1.5</f>
        <v>168.75</v>
      </c>
      <c r="M502" s="626">
        <f>Таблица7[[#This Row],[Размер отряда минимум]]*2.5</f>
        <v>225</v>
      </c>
      <c r="N502" s="626"/>
      <c r="O502" s="626"/>
      <c r="P502" s="626"/>
      <c r="Q502" s="626"/>
      <c r="R502" s="671" t="s">
        <v>1754</v>
      </c>
      <c r="S502" s="671"/>
      <c r="T502" s="520" t="s">
        <v>976</v>
      </c>
      <c r="U502" s="752" t="s">
        <v>1753</v>
      </c>
      <c r="V502" s="670"/>
      <c r="W502" s="520" t="s">
        <v>993</v>
      </c>
      <c r="X502" s="520" t="s">
        <v>994</v>
      </c>
      <c r="Y502" s="520"/>
      <c r="AD502" s="511" t="s">
        <v>1158</v>
      </c>
      <c r="AE502" s="511"/>
      <c r="AF502" s="141" t="s">
        <v>1211</v>
      </c>
      <c r="AH502" s="520" t="s">
        <v>985</v>
      </c>
      <c r="AI502" s="520"/>
      <c r="AJ502" s="511" t="s">
        <v>985</v>
      </c>
      <c r="AK502" s="511"/>
      <c r="AL502" s="521" t="s">
        <v>985</v>
      </c>
      <c r="AM502" s="520" t="s">
        <v>978</v>
      </c>
      <c r="AN502" s="520" t="s">
        <v>1023</v>
      </c>
      <c r="AO502" s="520"/>
      <c r="AP502" s="141" t="s">
        <v>25</v>
      </c>
      <c r="AS502" s="141">
        <v>1550</v>
      </c>
      <c r="AT502" s="143"/>
      <c r="AU502" s="395">
        <v>4</v>
      </c>
      <c r="AV502" s="395"/>
      <c r="AW502" s="395">
        <f>VLOOKUP(Таблица7[[#This Row],[Основное оружие]], Оружие[#All], 2, 0)</f>
        <v>1</v>
      </c>
      <c r="AX502" s="395" t="str">
        <f>IF(ISBLANK(Таблица7[[#This Row],[Дополнительное оружие]]),"", VLOOKUP(Таблица7[[#This Row],[Дополнительное оружие]], Оружие[#All], 2, 0))</f>
        <v/>
      </c>
      <c r="AY502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2</v>
      </c>
      <c r="AZ502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3</v>
      </c>
      <c r="BA502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02" s="395">
        <f>VLOOKUP(Таблица7[[#This Row],[Основное оружие]], Оружие[#All], 3, 0)</f>
        <v>1</v>
      </c>
      <c r="BC502" s="395" t="str">
        <f>IF(ISBLANK(Таблица7[[#This Row],[Дополнительное оружие]]),"", VLOOKUP(Таблица7[[#This Row],[Дополнительное оружие]], Оружие[#All], 3, 0))</f>
        <v/>
      </c>
      <c r="BD502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02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02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02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02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2</v>
      </c>
      <c r="BI502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02" s="395">
        <f>Таблица7[[#This Row],[Броня]]+Таблица7[[#This Row],[Щит]]+Таблица7[[#This Row],[навык защиты]]</f>
        <v>15</v>
      </c>
      <c r="BK502" s="995"/>
      <c r="BL502" s="995"/>
      <c r="BM502" s="395"/>
      <c r="BN502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02" s="395">
        <v>2</v>
      </c>
      <c r="BP502" s="395">
        <v>-1</v>
      </c>
      <c r="BQ502" s="395">
        <v>-1</v>
      </c>
      <c r="BR502" s="395">
        <v>-2</v>
      </c>
      <c r="BS502" s="395">
        <v>1</v>
      </c>
      <c r="BT502" s="395">
        <v>8</v>
      </c>
      <c r="BU502" s="995" t="s">
        <v>1840</v>
      </c>
      <c r="BV502" s="995" t="s">
        <v>1843</v>
      </c>
      <c r="BW502" s="395"/>
      <c r="BX502" s="395"/>
      <c r="BY502" s="395"/>
      <c r="BZ502" s="144"/>
    </row>
    <row r="503" spans="1:78" s="141" customFormat="1" ht="40.5" customHeight="1" x14ac:dyDescent="0.25">
      <c r="A503" s="333">
        <v>501</v>
      </c>
      <c r="B503" s="857" t="s">
        <v>1656</v>
      </c>
      <c r="C503" s="857"/>
      <c r="D503" s="460" t="s">
        <v>1555</v>
      </c>
      <c r="E503" s="460" t="s">
        <v>1570</v>
      </c>
      <c r="F503" s="460"/>
      <c r="G503" s="460"/>
      <c r="H503" s="460"/>
      <c r="I503" s="641">
        <v>1</v>
      </c>
      <c r="J503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40</v>
      </c>
      <c r="K503" s="625">
        <f>Таблица7[[#This Row],[Размер отряда минимум]]*1.25</f>
        <v>50</v>
      </c>
      <c r="L503" s="625">
        <f>Таблица7[[#This Row],[Размер отряда норма]]*1.5</f>
        <v>75</v>
      </c>
      <c r="M503" s="626">
        <f>Таблица7[[#This Row],[Размер отряда минимум]]*2.5</f>
        <v>100</v>
      </c>
      <c r="N503" s="626"/>
      <c r="O503" s="626"/>
      <c r="P503" s="626"/>
      <c r="Q503" s="626"/>
      <c r="R503" s="460" t="s">
        <v>1433</v>
      </c>
      <c r="S503" s="460"/>
      <c r="T503" s="460" t="s">
        <v>1032</v>
      </c>
      <c r="U503" s="460" t="s">
        <v>1026</v>
      </c>
      <c r="V503" s="858"/>
      <c r="W503" s="460" t="s">
        <v>984</v>
      </c>
      <c r="X503" s="142" t="s">
        <v>1688</v>
      </c>
      <c r="Y503" s="142"/>
      <c r="Z503" s="142" t="s">
        <v>1441</v>
      </c>
      <c r="AA503" s="142"/>
      <c r="AB503" s="142"/>
      <c r="AC503" s="142"/>
      <c r="AD503" s="460" t="s">
        <v>985</v>
      </c>
      <c r="AE503" s="460"/>
      <c r="AF503" s="142" t="s">
        <v>985</v>
      </c>
      <c r="AG503" s="142"/>
      <c r="AH503" s="142" t="s">
        <v>985</v>
      </c>
      <c r="AI503" s="142"/>
      <c r="AJ503" s="460" t="s">
        <v>985</v>
      </c>
      <c r="AK503" s="460"/>
      <c r="AL503" s="851" t="s">
        <v>985</v>
      </c>
      <c r="AM503" s="142" t="s">
        <v>1136</v>
      </c>
      <c r="AN503" s="142" t="s">
        <v>1136</v>
      </c>
      <c r="AO503" s="142"/>
      <c r="AP503" s="845" t="s">
        <v>1666</v>
      </c>
      <c r="AQ503" s="845"/>
      <c r="AS503" s="141">
        <v>1500</v>
      </c>
      <c r="AT503" s="143"/>
      <c r="AU503" s="395">
        <v>2</v>
      </c>
      <c r="AV503" s="395" t="s">
        <v>1828</v>
      </c>
      <c r="AW503" s="395">
        <f>VLOOKUP(Таблица7[[#This Row],[Основное оружие]], Оружие[#All], 2, 0)</f>
        <v>0</v>
      </c>
      <c r="AX503" s="395">
        <f>IF(ISBLANK(Таблица7[[#This Row],[Дополнительное оружие]]),"", VLOOKUP(Таблица7[[#This Row],[Дополнительное оружие]], Оружие[#All], 2, 0))</f>
        <v>4</v>
      </c>
      <c r="AY503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4</v>
      </c>
      <c r="AZ503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503" s="854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8</v>
      </c>
      <c r="BB503" s="395">
        <f>VLOOKUP(Таблица7[[#This Row],[Основное оружие]], Оружие[#All], 3, 0)</f>
        <v>1</v>
      </c>
      <c r="BC503" s="395">
        <f>IF(ISBLANK(Таблица7[[#This Row],[Дополнительное оружие]]),"", VLOOKUP(Таблица7[[#This Row],[Дополнительное оружие]], Оружие[#All], 3, 0))</f>
        <v>3</v>
      </c>
      <c r="BD503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03" s="395" t="str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нет</v>
      </c>
      <c r="BF503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03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03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1</v>
      </c>
      <c r="BI503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03" s="395">
        <f>Таблица7[[#This Row],[Броня]]+Таблица7[[#This Row],[Щит]]+Таблица7[[#This Row],[навык защиты]]</f>
        <v>2</v>
      </c>
      <c r="BK503" s="1013" t="s">
        <v>1591</v>
      </c>
      <c r="BL503" s="995"/>
      <c r="BM503" s="395"/>
      <c r="BN503" s="1005" t="s">
        <v>1578</v>
      </c>
      <c r="BO503" s="395">
        <v>1</v>
      </c>
      <c r="BP503" s="859">
        <v>-2</v>
      </c>
      <c r="BQ503" s="859">
        <v>0</v>
      </c>
      <c r="BR503" s="859">
        <v>-4</v>
      </c>
      <c r="BS503" s="859">
        <v>-2</v>
      </c>
      <c r="BT503" s="395">
        <v>7</v>
      </c>
      <c r="BU503" s="995" t="s">
        <v>1576</v>
      </c>
      <c r="BV503" s="995" t="s">
        <v>1842</v>
      </c>
      <c r="BW503" s="395"/>
      <c r="BX503" s="395"/>
      <c r="BY503" s="395"/>
      <c r="BZ503" s="144"/>
    </row>
    <row r="504" spans="1:78" s="141" customFormat="1" ht="40.5" customHeight="1" x14ac:dyDescent="0.25">
      <c r="A504" s="333">
        <v>501</v>
      </c>
      <c r="B504" s="671" t="s">
        <v>1752</v>
      </c>
      <c r="C504" s="671"/>
      <c r="D504" s="520" t="s">
        <v>1556</v>
      </c>
      <c r="E504" s="141" t="s">
        <v>1448</v>
      </c>
      <c r="I504" s="641">
        <v>0.9</v>
      </c>
      <c r="J504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81</v>
      </c>
      <c r="K504" s="625">
        <f>Таблица7[[#This Row],[Размер отряда минимум]]*1.25</f>
        <v>101.25</v>
      </c>
      <c r="L504" s="625">
        <f>Таблица7[[#This Row],[Размер отряда норма]]*1.5</f>
        <v>151.875</v>
      </c>
      <c r="M504" s="626">
        <f>Таблица7[[#This Row],[Размер отряда минимум]]*2.5</f>
        <v>202.5</v>
      </c>
      <c r="N504" s="626"/>
      <c r="O504" s="626"/>
      <c r="P504" s="626"/>
      <c r="Q504" s="626"/>
      <c r="R504" s="671" t="s">
        <v>1754</v>
      </c>
      <c r="S504" s="671"/>
      <c r="T504" s="520" t="s">
        <v>975</v>
      </c>
      <c r="U504" s="752" t="s">
        <v>1753</v>
      </c>
      <c r="V504" s="670"/>
      <c r="W504" s="520" t="s">
        <v>993</v>
      </c>
      <c r="X504" s="520" t="s">
        <v>994</v>
      </c>
      <c r="Y504" s="520"/>
      <c r="AD504" s="511" t="s">
        <v>1158</v>
      </c>
      <c r="AE504" s="511"/>
      <c r="AF504" s="141" t="s">
        <v>1211</v>
      </c>
      <c r="AH504" s="520" t="s">
        <v>985</v>
      </c>
      <c r="AI504" s="520"/>
      <c r="AJ504" s="511" t="s">
        <v>985</v>
      </c>
      <c r="AK504" s="511"/>
      <c r="AL504" s="521" t="s">
        <v>985</v>
      </c>
      <c r="AM504" s="520" t="s">
        <v>978</v>
      </c>
      <c r="AN504" s="520" t="s">
        <v>1023</v>
      </c>
      <c r="AO504" s="520"/>
      <c r="AP504" s="141" t="s">
        <v>25</v>
      </c>
      <c r="AS504" s="141">
        <v>1514</v>
      </c>
      <c r="AT504" s="143">
        <v>1550</v>
      </c>
      <c r="AU504" s="395">
        <v>7</v>
      </c>
      <c r="AV504" s="395"/>
      <c r="AW504" s="395">
        <f>VLOOKUP(Таблица7[[#This Row],[Основное оружие]], Оружие[#All], 2, 0)</f>
        <v>1</v>
      </c>
      <c r="AX504" s="395" t="str">
        <f>IF(ISBLANK(Таблица7[[#This Row],[Дополнительное оружие]]),"", VLOOKUP(Таблица7[[#This Row],[Дополнительное оружие]], Оружие[#All], 2, 0))</f>
        <v/>
      </c>
      <c r="AY504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04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04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04" s="395">
        <f>VLOOKUP(Таблица7[[#This Row],[Основное оружие]], Оружие[#All], 3, 0)</f>
        <v>1</v>
      </c>
      <c r="BC504" s="395" t="str">
        <f>IF(ISBLANK(Таблица7[[#This Row],[Дополнительное оружие]]),"", VLOOKUP(Таблица7[[#This Row],[Дополнительное оружие]], Оружие[#All], 3, 0))</f>
        <v/>
      </c>
      <c r="BD504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04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04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04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04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04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04" s="395">
        <f>Таблица7[[#This Row],[Броня]]+Таблица7[[#This Row],[Щит]]+Таблица7[[#This Row],[навык защиты]]</f>
        <v>18</v>
      </c>
      <c r="BK504" s="995"/>
      <c r="BL504" s="995"/>
      <c r="BM504" s="395"/>
      <c r="BN504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04" s="395">
        <v>2</v>
      </c>
      <c r="BP504" s="395">
        <v>-1</v>
      </c>
      <c r="BQ504" s="395">
        <v>-1</v>
      </c>
      <c r="BR504" s="395">
        <v>-2</v>
      </c>
      <c r="BS504" s="395">
        <v>1</v>
      </c>
      <c r="BT504" s="395">
        <v>11</v>
      </c>
      <c r="BU504" s="995" t="s">
        <v>1840</v>
      </c>
      <c r="BV504" s="995" t="s">
        <v>1844</v>
      </c>
      <c r="BW504" s="395"/>
      <c r="BX504" s="395"/>
      <c r="BY504" s="395"/>
      <c r="BZ504" s="144"/>
    </row>
    <row r="505" spans="1:78" s="141" customFormat="1" ht="40.5" customHeight="1" x14ac:dyDescent="0.25">
      <c r="A505" s="333">
        <v>501</v>
      </c>
      <c r="B505" s="937" t="s">
        <v>2807</v>
      </c>
      <c r="C505" s="671"/>
      <c r="D505" s="937"/>
      <c r="E505" s="937"/>
      <c r="F505" s="937"/>
      <c r="G505" s="937"/>
      <c r="H505" s="937"/>
      <c r="I505" s="663"/>
      <c r="J505" s="633"/>
      <c r="K505" s="633"/>
      <c r="L505" s="633"/>
      <c r="M505" s="633"/>
      <c r="N505" s="633"/>
      <c r="O505" s="633"/>
      <c r="P505" s="633"/>
      <c r="Q505" s="633"/>
      <c r="R505" s="937"/>
      <c r="S505" s="937"/>
      <c r="T505" s="937"/>
      <c r="U505" s="938"/>
      <c r="V505" s="670"/>
      <c r="W505" s="937"/>
      <c r="X505" s="937"/>
      <c r="Y505" s="520"/>
      <c r="Z505" s="937"/>
      <c r="AB505" s="937"/>
      <c r="AD505" s="937"/>
      <c r="AE505" s="511"/>
      <c r="AF505" s="937"/>
      <c r="AG505" s="937"/>
      <c r="AH505" s="937"/>
      <c r="AI505" s="937"/>
      <c r="AJ505" s="937"/>
      <c r="AK505" s="937"/>
      <c r="AL505" s="939"/>
      <c r="AM505" s="937"/>
      <c r="AN505" s="937"/>
      <c r="AO505" s="937"/>
      <c r="AP505" s="151"/>
      <c r="AR505" s="151"/>
      <c r="AS505" s="151"/>
      <c r="AT505" s="151"/>
      <c r="AU505" s="405"/>
      <c r="AV505" s="405"/>
      <c r="AW505" s="405" t="e">
        <f>VLOOKUP(Таблица7[[#This Row],[Основное оружие]], Оружие[#All], 2, 0)</f>
        <v>#N/A</v>
      </c>
      <c r="AX505" s="405"/>
      <c r="AY505" s="405"/>
      <c r="AZ505" s="405"/>
      <c r="BA505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505" s="405"/>
      <c r="BC505" s="405"/>
      <c r="BD505" s="405"/>
      <c r="BE505" s="405" t="e">
        <f>VLOOKUP(Таблица7[[#This Row],[доспехи]], Броня[#All], 2, 0)+IF(Таблица7[[#This Row],[Доспех коня]]="да", VLOOKUP(Tables!$B$56,Броня[#All], 2, 0), 0)</f>
        <v>#N/A</v>
      </c>
      <c r="BF505" s="405" t="e">
        <f>VLOOKUP(Таблица7[[#This Row],[апгрейд 2]], Броня[#All], 2, 0)+IF(Таблица7[[#This Row],[Доспех коня]]="да", VLOOKUP(Tables!$B$56,Броня[#All], 2, 0), 0)</f>
        <v>#N/A</v>
      </c>
      <c r="BG505" s="405" t="e">
        <f>VLOOKUP(Таблица7[[#This Row],[апгрейд 3]], Броня[#All], 2, 0)+IF(Таблица7[[#This Row],[Доспех коня]]="да", VLOOKUP(Tables!$B$56,Броня[#All], 2, 0), 0)</f>
        <v>#N/A</v>
      </c>
      <c r="BH505" s="405"/>
      <c r="BI505" s="405"/>
      <c r="BJ505" s="405"/>
      <c r="BK505" s="1006"/>
      <c r="BL505" s="1006"/>
      <c r="BM505" s="400"/>
      <c r="BN505" s="1002"/>
      <c r="BO505" s="400"/>
      <c r="BP505" s="400"/>
      <c r="BQ505" s="400"/>
      <c r="BR505" s="400"/>
      <c r="BS505" s="400"/>
      <c r="BT505" s="400"/>
      <c r="BU505" s="1002"/>
      <c r="BV505" s="1002"/>
      <c r="BW505" s="400"/>
      <c r="BX505" s="400"/>
      <c r="BY505" s="400"/>
      <c r="BZ505" s="144"/>
    </row>
    <row r="506" spans="1:78" s="141" customFormat="1" ht="40.5" customHeight="1" x14ac:dyDescent="0.25">
      <c r="A506" s="333">
        <v>501</v>
      </c>
      <c r="B506" s="937" t="s">
        <v>1674</v>
      </c>
      <c r="C506" s="671"/>
      <c r="D506" s="937"/>
      <c r="E506" s="937"/>
      <c r="F506" s="937"/>
      <c r="G506" s="937"/>
      <c r="H506" s="937"/>
      <c r="I506" s="663"/>
      <c r="J506" s="633"/>
      <c r="K506" s="633"/>
      <c r="L506" s="633"/>
      <c r="M506" s="633"/>
      <c r="N506" s="633"/>
      <c r="O506" s="633"/>
      <c r="P506" s="633"/>
      <c r="Q506" s="633"/>
      <c r="R506" s="937"/>
      <c r="S506" s="937"/>
      <c r="T506" s="937"/>
      <c r="U506" s="938"/>
      <c r="V506" s="670"/>
      <c r="W506" s="937"/>
      <c r="X506" s="937"/>
      <c r="Y506" s="520"/>
      <c r="Z506" s="937"/>
      <c r="AB506" s="937"/>
      <c r="AD506" s="937"/>
      <c r="AE506" s="511"/>
      <c r="AF506" s="937"/>
      <c r="AG506" s="937"/>
      <c r="AH506" s="937"/>
      <c r="AI506" s="937"/>
      <c r="AJ506" s="937"/>
      <c r="AK506" s="937"/>
      <c r="AL506" s="939"/>
      <c r="AM506" s="937"/>
      <c r="AN506" s="937"/>
      <c r="AO506" s="937"/>
      <c r="AP506" s="151"/>
      <c r="AR506" s="151"/>
      <c r="AS506" s="151"/>
      <c r="AT506" s="151"/>
      <c r="AU506" s="405"/>
      <c r="AV506" s="405"/>
      <c r="AW506" s="405" t="e">
        <f>VLOOKUP(Таблица7[[#This Row],[Основное оружие]], Оружие[#All], 2, 0)</f>
        <v>#N/A</v>
      </c>
      <c r="AX506" s="405"/>
      <c r="AY506" s="405"/>
      <c r="AZ506" s="405"/>
      <c r="BA506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506" s="405"/>
      <c r="BC506" s="405"/>
      <c r="BD506" s="405"/>
      <c r="BE506" s="405" t="e">
        <f>VLOOKUP(Таблица7[[#This Row],[доспехи]], Броня[#All], 2, 0)+IF(Таблица7[[#This Row],[Доспех коня]]="да", VLOOKUP(Tables!$B$56,Броня[#All], 2, 0), 0)</f>
        <v>#N/A</v>
      </c>
      <c r="BF506" s="405" t="e">
        <f>VLOOKUP(Таблица7[[#This Row],[апгрейд 2]], Броня[#All], 2, 0)+IF(Таблица7[[#This Row],[Доспех коня]]="да", VLOOKUP(Tables!$B$56,Броня[#All], 2, 0), 0)</f>
        <v>#N/A</v>
      </c>
      <c r="BG506" s="405" t="e">
        <f>VLOOKUP(Таблица7[[#This Row],[апгрейд 3]], Броня[#All], 2, 0)+IF(Таблица7[[#This Row],[Доспех коня]]="да", VLOOKUP(Tables!$B$56,Броня[#All], 2, 0), 0)</f>
        <v>#N/A</v>
      </c>
      <c r="BH506" s="405"/>
      <c r="BI506" s="405"/>
      <c r="BJ506" s="405"/>
      <c r="BK506" s="1006"/>
      <c r="BL506" s="1006"/>
      <c r="BM506" s="400"/>
      <c r="BN506" s="1002"/>
      <c r="BO506" s="400"/>
      <c r="BP506" s="400"/>
      <c r="BQ506" s="400"/>
      <c r="BR506" s="400"/>
      <c r="BS506" s="400"/>
      <c r="BT506" s="400"/>
      <c r="BU506" s="1002"/>
      <c r="BV506" s="1002"/>
      <c r="BW506" s="400"/>
      <c r="BX506" s="400"/>
      <c r="BY506" s="400"/>
      <c r="BZ506" s="144"/>
    </row>
    <row r="507" spans="1:78" s="141" customFormat="1" ht="40.5" customHeight="1" x14ac:dyDescent="0.25">
      <c r="A507" s="333">
        <v>501</v>
      </c>
      <c r="B507" s="937" t="s">
        <v>2806</v>
      </c>
      <c r="C507" s="671"/>
      <c r="D507" s="937"/>
      <c r="E507" s="937"/>
      <c r="F507" s="937"/>
      <c r="G507" s="937"/>
      <c r="H507" s="937"/>
      <c r="I507" s="663"/>
      <c r="J507" s="633"/>
      <c r="K507" s="633"/>
      <c r="L507" s="633"/>
      <c r="M507" s="633"/>
      <c r="N507" s="633"/>
      <c r="O507" s="633"/>
      <c r="P507" s="633"/>
      <c r="Q507" s="633"/>
      <c r="R507" s="937"/>
      <c r="S507" s="937"/>
      <c r="T507" s="937"/>
      <c r="U507" s="938"/>
      <c r="V507" s="670"/>
      <c r="W507" s="937"/>
      <c r="X507" s="937"/>
      <c r="Y507" s="520"/>
      <c r="Z507" s="937"/>
      <c r="AB507" s="937"/>
      <c r="AD507" s="937"/>
      <c r="AE507" s="511"/>
      <c r="AF507" s="937"/>
      <c r="AG507" s="937"/>
      <c r="AH507" s="937"/>
      <c r="AI507" s="937"/>
      <c r="AJ507" s="937"/>
      <c r="AK507" s="937"/>
      <c r="AL507" s="939"/>
      <c r="AM507" s="937"/>
      <c r="AN507" s="937"/>
      <c r="AO507" s="937"/>
      <c r="AP507" s="151"/>
      <c r="AR507" s="151"/>
      <c r="AS507" s="151"/>
      <c r="AT507" s="151"/>
      <c r="AU507" s="405"/>
      <c r="AV507" s="405"/>
      <c r="AW507" s="405" t="e">
        <f>VLOOKUP(Таблица7[[#This Row],[Основное оружие]], Оружие[#All], 2, 0)</f>
        <v>#N/A</v>
      </c>
      <c r="AX507" s="405"/>
      <c r="AY507" s="405"/>
      <c r="AZ507" s="405"/>
      <c r="BA507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507" s="405"/>
      <c r="BC507" s="405"/>
      <c r="BD507" s="405"/>
      <c r="BE507" s="405" t="e">
        <f>VLOOKUP(Таблица7[[#This Row],[доспехи]], Броня[#All], 2, 0)+IF(Таблица7[[#This Row],[Доспех коня]]="да", VLOOKUP(Tables!$B$56,Броня[#All], 2, 0), 0)</f>
        <v>#N/A</v>
      </c>
      <c r="BF507" s="405" t="e">
        <f>VLOOKUP(Таблица7[[#This Row],[апгрейд 2]], Броня[#All], 2, 0)+IF(Таблица7[[#This Row],[Доспех коня]]="да", VLOOKUP(Tables!$B$56,Броня[#All], 2, 0), 0)</f>
        <v>#N/A</v>
      </c>
      <c r="BG507" s="405" t="e">
        <f>VLOOKUP(Таблица7[[#This Row],[апгрейд 3]], Броня[#All], 2, 0)+IF(Таблица7[[#This Row],[Доспех коня]]="да", VLOOKUP(Tables!$B$56,Броня[#All], 2, 0), 0)</f>
        <v>#N/A</v>
      </c>
      <c r="BH507" s="405"/>
      <c r="BI507" s="405"/>
      <c r="BJ507" s="405"/>
      <c r="BK507" s="1006"/>
      <c r="BL507" s="1006"/>
      <c r="BM507" s="400"/>
      <c r="BN507" s="1002"/>
      <c r="BO507" s="400"/>
      <c r="BP507" s="400"/>
      <c r="BQ507" s="400"/>
      <c r="BR507" s="400"/>
      <c r="BS507" s="400"/>
      <c r="BT507" s="400"/>
      <c r="BU507" s="1002"/>
      <c r="BV507" s="1002"/>
      <c r="BW507" s="400"/>
      <c r="BX507" s="400"/>
      <c r="BY507" s="400"/>
      <c r="BZ507" s="144"/>
    </row>
    <row r="508" spans="1:78" s="141" customFormat="1" ht="40.5" customHeight="1" x14ac:dyDescent="0.25">
      <c r="A508" s="333">
        <v>501</v>
      </c>
      <c r="B508" s="937" t="s">
        <v>2806</v>
      </c>
      <c r="C508" s="671"/>
      <c r="D508" s="937"/>
      <c r="E508" s="937"/>
      <c r="F508" s="937"/>
      <c r="G508" s="937"/>
      <c r="H508" s="937"/>
      <c r="I508" s="663"/>
      <c r="J508" s="633"/>
      <c r="K508" s="633"/>
      <c r="L508" s="633"/>
      <c r="M508" s="633"/>
      <c r="N508" s="633"/>
      <c r="O508" s="633"/>
      <c r="P508" s="633"/>
      <c r="Q508" s="633"/>
      <c r="R508" s="937"/>
      <c r="S508" s="937"/>
      <c r="T508" s="937"/>
      <c r="U508" s="938"/>
      <c r="V508" s="670"/>
      <c r="W508" s="937"/>
      <c r="X508" s="937"/>
      <c r="Y508" s="520"/>
      <c r="Z508" s="937"/>
      <c r="AB508" s="937"/>
      <c r="AD508" s="937"/>
      <c r="AE508" s="511"/>
      <c r="AF508" s="937"/>
      <c r="AG508" s="937"/>
      <c r="AH508" s="937"/>
      <c r="AI508" s="937"/>
      <c r="AJ508" s="937"/>
      <c r="AK508" s="937"/>
      <c r="AL508" s="939"/>
      <c r="AM508" s="937"/>
      <c r="AN508" s="937"/>
      <c r="AO508" s="937"/>
      <c r="AP508" s="151"/>
      <c r="AR508" s="151"/>
      <c r="AS508" s="151"/>
      <c r="AT508" s="151"/>
      <c r="AU508" s="405"/>
      <c r="AV508" s="405"/>
      <c r="AW508" s="405" t="e">
        <f>VLOOKUP(Таблица7[[#This Row],[Основное оружие]], Оружие[#All], 2, 0)</f>
        <v>#N/A</v>
      </c>
      <c r="AX508" s="405"/>
      <c r="AY508" s="405"/>
      <c r="AZ508" s="405"/>
      <c r="BA508" s="703" t="str">
        <f>IF(Таблица7[[#This Row],[Мощь дополнительного оружия(урон, длина, сложность владения и тд)]]="", "", Таблица7[[#This Row],[Мощь дополнительного оружия(урон, длина, сложность владения и тд)]]+Таблица7[[#This Row],[Навык атаки]])</f>
        <v/>
      </c>
      <c r="BB508" s="405"/>
      <c r="BC508" s="405"/>
      <c r="BD508" s="405"/>
      <c r="BE508" s="405" t="e">
        <f>VLOOKUP(Таблица7[[#This Row],[доспехи]], Броня[#All], 2, 0)+IF(Таблица7[[#This Row],[Доспех коня]]="да", VLOOKUP(Tables!$B$56,Броня[#All], 2, 0), 0)</f>
        <v>#N/A</v>
      </c>
      <c r="BF508" s="405" t="e">
        <f>VLOOKUP(Таблица7[[#This Row],[апгрейд 2]], Броня[#All], 2, 0)+IF(Таблица7[[#This Row],[Доспех коня]]="да", VLOOKUP(Tables!$B$56,Броня[#All], 2, 0), 0)</f>
        <v>#N/A</v>
      </c>
      <c r="BG508" s="405" t="e">
        <f>VLOOKUP(Таблица7[[#This Row],[апгрейд 3]], Броня[#All], 2, 0)+IF(Таблица7[[#This Row],[Доспех коня]]="да", VLOOKUP(Tables!$B$56,Броня[#All], 2, 0), 0)</f>
        <v>#N/A</v>
      </c>
      <c r="BH508" s="405"/>
      <c r="BI508" s="405"/>
      <c r="BJ508" s="405"/>
      <c r="BK508" s="1006"/>
      <c r="BL508" s="1006"/>
      <c r="BM508" s="400"/>
      <c r="BN508" s="1002"/>
      <c r="BO508" s="400"/>
      <c r="BP508" s="400"/>
      <c r="BQ508" s="400"/>
      <c r="BR508" s="400"/>
      <c r="BS508" s="400"/>
      <c r="BT508" s="400"/>
      <c r="BU508" s="1002"/>
      <c r="BV508" s="1002"/>
      <c r="BW508" s="400"/>
      <c r="BX508" s="400"/>
      <c r="BY508" s="400"/>
      <c r="BZ508" s="144"/>
    </row>
    <row r="509" spans="1:78" s="141" customFormat="1" ht="40.5" customHeight="1" x14ac:dyDescent="0.25">
      <c r="A509" s="333">
        <v>501</v>
      </c>
      <c r="B509" s="860" t="s">
        <v>1327</v>
      </c>
      <c r="C509" s="860"/>
      <c r="D509" s="142" t="s">
        <v>1556</v>
      </c>
      <c r="E509" s="860" t="s">
        <v>1570</v>
      </c>
      <c r="F509" s="860"/>
      <c r="G509" s="860"/>
      <c r="H509" s="860"/>
      <c r="I509" s="641">
        <v>0.5</v>
      </c>
      <c r="J509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50</v>
      </c>
      <c r="K509" s="625">
        <f>Таблица7[[#This Row],[Размер отряда минимум]]*1.25</f>
        <v>62.5</v>
      </c>
      <c r="L509" s="625">
        <f>Таблица7[[#This Row],[Размер отряда норма]]*1.5</f>
        <v>93.75</v>
      </c>
      <c r="M509" s="626">
        <f>Таблица7[[#This Row],[Размер отряда минимум]]*2.5</f>
        <v>125</v>
      </c>
      <c r="N509" s="626"/>
      <c r="O509" s="626"/>
      <c r="P509" s="626"/>
      <c r="Q509" s="626"/>
      <c r="R509" s="845" t="s">
        <v>1672</v>
      </c>
      <c r="S509" s="845"/>
      <c r="T509" s="142" t="s">
        <v>976</v>
      </c>
      <c r="U509" s="460" t="s">
        <v>1142</v>
      </c>
      <c r="V509" s="858"/>
      <c r="W509" s="142" t="s">
        <v>1001</v>
      </c>
      <c r="X509" s="142" t="s">
        <v>1696</v>
      </c>
      <c r="Y509" s="142"/>
      <c r="Z509" s="142" t="s">
        <v>1440</v>
      </c>
      <c r="AA509" s="142"/>
      <c r="AB509" s="142"/>
      <c r="AC509" s="142"/>
      <c r="AD509" s="460" t="s">
        <v>985</v>
      </c>
      <c r="AE509" s="460"/>
      <c r="AF509" s="142" t="s">
        <v>991</v>
      </c>
      <c r="AG509" s="142"/>
      <c r="AH509" s="142" t="s">
        <v>985</v>
      </c>
      <c r="AI509" s="142"/>
      <c r="AJ509" s="460" t="s">
        <v>985</v>
      </c>
      <c r="AK509" s="460"/>
      <c r="AL509" s="851" t="s">
        <v>985</v>
      </c>
      <c r="AM509" s="142" t="s">
        <v>1136</v>
      </c>
      <c r="AN509" s="142" t="s">
        <v>1136</v>
      </c>
      <c r="AO509" s="142"/>
      <c r="AP509" s="142" t="s">
        <v>1151</v>
      </c>
      <c r="AQ509" s="142"/>
      <c r="AS509" s="141">
        <v>1568</v>
      </c>
      <c r="AT509" s="143"/>
      <c r="AU509" s="395">
        <v>6</v>
      </c>
      <c r="AV509" s="395" t="s">
        <v>1828</v>
      </c>
      <c r="AW509" s="395">
        <f>VLOOKUP(Таблица7[[#This Row],[Основное оружие]], Оружие[#All], 2, 0)</f>
        <v>0</v>
      </c>
      <c r="AX509" s="395">
        <f>IF(ISBLANK(Таблица7[[#This Row],[Дополнительное оружие]]),"", VLOOKUP(Таблица7[[#This Row],[Дополнительное оружие]], Оружие[#All], 2, 0))</f>
        <v>4</v>
      </c>
      <c r="AY509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509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0</v>
      </c>
      <c r="BA509" s="854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>12</v>
      </c>
      <c r="BB509" s="395">
        <f>VLOOKUP(Таблица7[[#This Row],[Основное оружие]], Оружие[#All], 3, 0)</f>
        <v>1</v>
      </c>
      <c r="BC509" s="395">
        <f>IF(ISBLANK(Таблица7[[#This Row],[Дополнительное оружие]]),"", VLOOKUP(Таблица7[[#This Row],[Дополнительное оружие]], Оружие[#All], 3, 0))</f>
        <v>3</v>
      </c>
      <c r="BD509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09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509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09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09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09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09" s="395">
        <f>Таблица7[[#This Row],[Броня]]+Таблица7[[#This Row],[Щит]]+Таблица7[[#This Row],[навык защиты]]</f>
        <v>8</v>
      </c>
      <c r="BK509" s="995"/>
      <c r="BL509" s="995"/>
      <c r="BM509" s="395"/>
      <c r="BN509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509" s="395">
        <v>2</v>
      </c>
      <c r="BP509" s="395">
        <v>1</v>
      </c>
      <c r="BQ509" s="395">
        <v>-1</v>
      </c>
      <c r="BR509" s="395">
        <v>2</v>
      </c>
      <c r="BS509" s="395">
        <v>1</v>
      </c>
      <c r="BT509" s="395">
        <v>8</v>
      </c>
      <c r="BU509" s="995" t="s">
        <v>1840</v>
      </c>
      <c r="BV509" s="995" t="s">
        <v>1844</v>
      </c>
      <c r="BW509" s="395"/>
      <c r="BX509" s="395"/>
      <c r="BY509" s="395"/>
    </row>
    <row r="510" spans="1:78" s="141" customFormat="1" ht="40.5" customHeight="1" x14ac:dyDescent="0.25">
      <c r="A510" s="333">
        <v>501</v>
      </c>
      <c r="B510" s="845" t="s">
        <v>1708</v>
      </c>
      <c r="C510" s="846" t="s">
        <v>2231</v>
      </c>
      <c r="D510" s="847" t="s">
        <v>1556</v>
      </c>
      <c r="E510" s="847" t="s">
        <v>1560</v>
      </c>
      <c r="F510" s="847"/>
      <c r="G510" s="847"/>
      <c r="H510" s="847"/>
      <c r="I510" s="641">
        <v>1</v>
      </c>
      <c r="J510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10" s="625">
        <f>Таблица7[[#This Row],[Размер отряда минимум]]*1.25</f>
        <v>112.5</v>
      </c>
      <c r="L510" s="625">
        <f>Таблица7[[#This Row],[Размер отряда норма]]*1.5</f>
        <v>168.75</v>
      </c>
      <c r="M510" s="626">
        <f>Таблица7[[#This Row],[Размер отряда минимум]]*2.5</f>
        <v>225</v>
      </c>
      <c r="N510" s="626"/>
      <c r="O510" s="626"/>
      <c r="P510" s="626"/>
      <c r="Q510" s="626"/>
      <c r="R510" s="846" t="s">
        <v>1432</v>
      </c>
      <c r="S510" s="846" t="s">
        <v>2314</v>
      </c>
      <c r="T510" s="847" t="s">
        <v>975</v>
      </c>
      <c r="U510" s="848" t="s">
        <v>1734</v>
      </c>
      <c r="V510" s="912" t="s">
        <v>2232</v>
      </c>
      <c r="W510" s="850" t="s">
        <v>993</v>
      </c>
      <c r="X510" s="847" t="s">
        <v>994</v>
      </c>
      <c r="Y510" s="846" t="s">
        <v>1932</v>
      </c>
      <c r="Z510" s="847"/>
      <c r="AA510" s="846"/>
      <c r="AB510" s="847"/>
      <c r="AC510" s="847"/>
      <c r="AD510" s="850" t="s">
        <v>985</v>
      </c>
      <c r="AE510" s="850"/>
      <c r="AF510" s="847" t="s">
        <v>991</v>
      </c>
      <c r="AG510" s="846" t="s">
        <v>1951</v>
      </c>
      <c r="AH510" s="847" t="s">
        <v>985</v>
      </c>
      <c r="AI510" s="847"/>
      <c r="AJ510" s="850" t="s">
        <v>985</v>
      </c>
      <c r="AK510" s="850"/>
      <c r="AL510" s="851" t="s">
        <v>985</v>
      </c>
      <c r="AM510" s="846" t="s">
        <v>1136</v>
      </c>
      <c r="AN510" s="846" t="s">
        <v>1136</v>
      </c>
      <c r="AO510" s="846" t="s">
        <v>2072</v>
      </c>
      <c r="AP510" s="862" t="s">
        <v>2315</v>
      </c>
      <c r="AQ510" s="862" t="s">
        <v>2316</v>
      </c>
      <c r="AR510" s="847"/>
      <c r="AS510" s="141">
        <v>1500</v>
      </c>
      <c r="AT510" s="143">
        <v>1550</v>
      </c>
      <c r="AU510" s="852">
        <v>6</v>
      </c>
      <c r="AV510" s="395"/>
      <c r="AW510" s="395">
        <f>VLOOKUP(Таблица7[[#This Row],[Основное оружие]], Оружие[#All], 2, 0)</f>
        <v>1</v>
      </c>
      <c r="AX510" s="395" t="str">
        <f>IF(ISBLANK(Таблица7[[#This Row],[Дополнительное оружие]]),"", VLOOKUP(Таблица7[[#This Row],[Дополнительное оружие]], Оружие[#All], 2, 0))</f>
        <v/>
      </c>
      <c r="AY510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510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510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0" s="395">
        <f>VLOOKUP(Таблица7[[#This Row],[Основное оружие]], Оружие[#All], 3, 0)</f>
        <v>1</v>
      </c>
      <c r="BC510" s="395" t="str">
        <f>IF(ISBLANK(Таблица7[[#This Row],[Дополнительное оружие]]),"", VLOOKUP(Таблица7[[#This Row],[Дополнительное оружие]], Оружие[#All], 3, 0))</f>
        <v/>
      </c>
      <c r="BD510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10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510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0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10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10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0" s="395">
        <f>Таблица7[[#This Row],[Броня]]+Таблица7[[#This Row],[Щит]]+Таблица7[[#This Row],[навык защиты]]</f>
        <v>6</v>
      </c>
      <c r="BK510" s="995"/>
      <c r="BL510" s="995"/>
      <c r="BM510" s="395"/>
      <c r="BN510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510" s="395">
        <v>3</v>
      </c>
      <c r="BP510" s="395">
        <v>-1</v>
      </c>
      <c r="BQ510" s="395">
        <v>-2</v>
      </c>
      <c r="BR510" s="395">
        <v>-2</v>
      </c>
      <c r="BS510" s="395">
        <v>2</v>
      </c>
      <c r="BT510" s="395">
        <v>10</v>
      </c>
      <c r="BU510" s="995" t="s">
        <v>1841</v>
      </c>
      <c r="BV510" s="995" t="s">
        <v>1844</v>
      </c>
      <c r="BW510" s="395"/>
      <c r="BX510" s="395"/>
      <c r="BY510" s="395"/>
      <c r="BZ510" s="144"/>
    </row>
    <row r="511" spans="1:78" s="141" customFormat="1" ht="40.5" customHeight="1" x14ac:dyDescent="0.25">
      <c r="A511" s="333">
        <v>501</v>
      </c>
      <c r="B511" s="845" t="s">
        <v>1708</v>
      </c>
      <c r="C511" s="846" t="s">
        <v>2231</v>
      </c>
      <c r="D511" s="847" t="s">
        <v>1556</v>
      </c>
      <c r="E511" s="847" t="s">
        <v>1560</v>
      </c>
      <c r="F511" s="847"/>
      <c r="G511" s="847"/>
      <c r="H511" s="847"/>
      <c r="I511" s="641">
        <v>1</v>
      </c>
      <c r="J511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511" s="625">
        <f>Таблица7[[#This Row],[Размер отряда минимум]]*1.25</f>
        <v>125</v>
      </c>
      <c r="L511" s="625">
        <f>Таблица7[[#This Row],[Размер отряда норма]]*1.5</f>
        <v>187.5</v>
      </c>
      <c r="M511" s="626">
        <f>Таблица7[[#This Row],[Размер отряда минимум]]*2.5</f>
        <v>250</v>
      </c>
      <c r="N511" s="626"/>
      <c r="O511" s="626"/>
      <c r="P511" s="626"/>
      <c r="Q511" s="626"/>
      <c r="R511" s="846" t="s">
        <v>1432</v>
      </c>
      <c r="S511" s="846" t="s">
        <v>2314</v>
      </c>
      <c r="T511" s="847" t="s">
        <v>976</v>
      </c>
      <c r="U511" s="752" t="s">
        <v>1734</v>
      </c>
      <c r="V511" s="849" t="s">
        <v>2232</v>
      </c>
      <c r="W511" s="850" t="s">
        <v>993</v>
      </c>
      <c r="X511" s="847" t="s">
        <v>994</v>
      </c>
      <c r="Y511" s="846" t="s">
        <v>1932</v>
      </c>
      <c r="Z511" s="847"/>
      <c r="AA511" s="846"/>
      <c r="AB511" s="847"/>
      <c r="AC511" s="847"/>
      <c r="AD511" s="850" t="s">
        <v>985</v>
      </c>
      <c r="AE511" s="850"/>
      <c r="AF511" s="847" t="s">
        <v>991</v>
      </c>
      <c r="AG511" s="846" t="s">
        <v>1951</v>
      </c>
      <c r="AH511" s="847" t="s">
        <v>985</v>
      </c>
      <c r="AI511" s="847"/>
      <c r="AJ511" s="850" t="s">
        <v>985</v>
      </c>
      <c r="AK511" s="850"/>
      <c r="AL511" s="851" t="s">
        <v>985</v>
      </c>
      <c r="AM511" s="846" t="s">
        <v>1136</v>
      </c>
      <c r="AN511" s="846" t="s">
        <v>1136</v>
      </c>
      <c r="AO511" s="846" t="s">
        <v>2072</v>
      </c>
      <c r="AP511" s="862" t="s">
        <v>2315</v>
      </c>
      <c r="AQ511" s="862" t="s">
        <v>2316</v>
      </c>
      <c r="AS511" s="141">
        <v>1550</v>
      </c>
      <c r="AT511" s="143"/>
      <c r="AU511" s="852">
        <v>6</v>
      </c>
      <c r="AV511" s="395"/>
      <c r="AW511" s="395">
        <f>VLOOKUP(Таблица7[[#This Row],[Основное оружие]], Оружие[#All], 2, 0)</f>
        <v>1</v>
      </c>
      <c r="AX511" s="395" t="str">
        <f>IF(ISBLANK(Таблица7[[#This Row],[Дополнительное оружие]]),"", VLOOKUP(Таблица7[[#This Row],[Дополнительное оружие]], Оружие[#All], 2, 0))</f>
        <v/>
      </c>
      <c r="AY511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6</v>
      </c>
      <c r="AZ511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7</v>
      </c>
      <c r="BA511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1" s="395">
        <f>VLOOKUP(Таблица7[[#This Row],[Основное оружие]], Оружие[#All], 3, 0)</f>
        <v>1</v>
      </c>
      <c r="BC511" s="395" t="str">
        <f>IF(ISBLANK(Таблица7[[#This Row],[Дополнительное оружие]]),"", VLOOKUP(Таблица7[[#This Row],[Дополнительное оружие]], Оружие[#All], 3, 0))</f>
        <v/>
      </c>
      <c r="BD511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11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511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1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11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11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1" s="395">
        <f>Таблица7[[#This Row],[Броня]]+Таблица7[[#This Row],[Щит]]+Таблица7[[#This Row],[навык защиты]]</f>
        <v>6</v>
      </c>
      <c r="BK511" s="995"/>
      <c r="BL511" s="995"/>
      <c r="BM511" s="395"/>
      <c r="BN511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511" s="395">
        <v>3</v>
      </c>
      <c r="BP511" s="395">
        <v>-1</v>
      </c>
      <c r="BQ511" s="395">
        <v>-2</v>
      </c>
      <c r="BR511" s="395">
        <v>-2</v>
      </c>
      <c r="BS511" s="395">
        <v>2</v>
      </c>
      <c r="BT511" s="395">
        <v>10</v>
      </c>
      <c r="BU511" s="995" t="s">
        <v>1841</v>
      </c>
      <c r="BV511" s="995" t="s">
        <v>1844</v>
      </c>
      <c r="BW511" s="395"/>
      <c r="BX511" s="395"/>
      <c r="BY511" s="395"/>
      <c r="BZ511" s="144"/>
    </row>
    <row r="512" spans="1:78" s="141" customFormat="1" ht="40.5" customHeight="1" x14ac:dyDescent="0.25">
      <c r="A512" s="333">
        <v>501</v>
      </c>
      <c r="B512" s="845" t="s">
        <v>1709</v>
      </c>
      <c r="C512" s="846" t="s">
        <v>2234</v>
      </c>
      <c r="D512" s="847" t="s">
        <v>1556</v>
      </c>
      <c r="E512" s="847" t="s">
        <v>1546</v>
      </c>
      <c r="F512" s="847"/>
      <c r="G512" s="847"/>
      <c r="H512" s="847"/>
      <c r="I512" s="641">
        <v>1</v>
      </c>
      <c r="J512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12" s="625">
        <f>Таблица7[[#This Row],[Размер отряда минимум]]*1.25</f>
        <v>112.5</v>
      </c>
      <c r="L512" s="625">
        <f>Таблица7[[#This Row],[Размер отряда норма]]*1.5</f>
        <v>168.75</v>
      </c>
      <c r="M512" s="626">
        <f>Таблица7[[#This Row],[Размер отряда минимум]]*2.5</f>
        <v>225</v>
      </c>
      <c r="N512" s="626"/>
      <c r="O512" s="626"/>
      <c r="P512" s="626"/>
      <c r="Q512" s="626"/>
      <c r="R512" s="846" t="s">
        <v>1432</v>
      </c>
      <c r="S512" s="846" t="s">
        <v>2314</v>
      </c>
      <c r="T512" s="847" t="s">
        <v>975</v>
      </c>
      <c r="U512" s="848" t="s">
        <v>1735</v>
      </c>
      <c r="V512" s="849" t="s">
        <v>2235</v>
      </c>
      <c r="W512" s="850" t="s">
        <v>993</v>
      </c>
      <c r="X512" s="847" t="s">
        <v>996</v>
      </c>
      <c r="Y512" s="846" t="s">
        <v>1973</v>
      </c>
      <c r="Z512" s="847"/>
      <c r="AA512" s="847"/>
      <c r="AB512" s="847"/>
      <c r="AC512" s="847"/>
      <c r="AD512" s="850" t="s">
        <v>985</v>
      </c>
      <c r="AE512" s="850"/>
      <c r="AF512" s="847" t="s">
        <v>991</v>
      </c>
      <c r="AG512" s="846" t="s">
        <v>1951</v>
      </c>
      <c r="AH512" s="847" t="s">
        <v>985</v>
      </c>
      <c r="AI512" s="847"/>
      <c r="AJ512" s="850" t="s">
        <v>985</v>
      </c>
      <c r="AK512" s="850"/>
      <c r="AL512" s="851" t="s">
        <v>985</v>
      </c>
      <c r="AM512" s="846" t="s">
        <v>1136</v>
      </c>
      <c r="AN512" s="846" t="s">
        <v>1136</v>
      </c>
      <c r="AO512" s="846" t="s">
        <v>2072</v>
      </c>
      <c r="AP512" s="862" t="s">
        <v>2315</v>
      </c>
      <c r="AQ512" s="862" t="s">
        <v>2316</v>
      </c>
      <c r="AR512" s="847"/>
      <c r="AS512" s="141">
        <v>1500</v>
      </c>
      <c r="AT512" s="143">
        <v>1550</v>
      </c>
      <c r="AU512" s="852">
        <v>6</v>
      </c>
      <c r="AV512" s="395"/>
      <c r="AW512" s="395">
        <f>VLOOKUP(Таблица7[[#This Row],[Основное оружие]], Оружие[#All], 2, 0)</f>
        <v>7</v>
      </c>
      <c r="AX512" s="395" t="str">
        <f>IF(ISBLANK(Таблица7[[#This Row],[Дополнительное оружие]]),"", VLOOKUP(Таблица7[[#This Row],[Дополнительное оружие]], Оружие[#All], 2, 0))</f>
        <v/>
      </c>
      <c r="AY512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8</v>
      </c>
      <c r="AZ512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512" s="85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2" s="395">
        <f>VLOOKUP(Таблица7[[#This Row],[Основное оружие]], Оружие[#All], 3, 0)</f>
        <v>3</v>
      </c>
      <c r="BC512" s="395" t="str">
        <f>IF(ISBLANK(Таблица7[[#This Row],[Дополнительное оружие]]),"", VLOOKUP(Таблица7[[#This Row],[Дополнительное оружие]], Оружие[#All], 3, 0))</f>
        <v/>
      </c>
      <c r="BD512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</v>
      </c>
      <c r="BE512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2</v>
      </c>
      <c r="BF512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2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12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12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2" s="395">
        <f>Таблица7[[#This Row],[Броня]]+Таблица7[[#This Row],[Щит]]+Таблица7[[#This Row],[навык защиты]]</f>
        <v>8</v>
      </c>
      <c r="BK512" s="995"/>
      <c r="BL512" s="995"/>
      <c r="BM512" s="395"/>
      <c r="BN512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very hardy</v>
      </c>
      <c r="BO512" s="395">
        <v>3</v>
      </c>
      <c r="BP512" s="395">
        <v>0</v>
      </c>
      <c r="BQ512" s="395">
        <v>-2</v>
      </c>
      <c r="BR512" s="395">
        <v>-1</v>
      </c>
      <c r="BS512" s="395">
        <v>2</v>
      </c>
      <c r="BT512" s="395">
        <v>10</v>
      </c>
      <c r="BU512" s="995" t="s">
        <v>1841</v>
      </c>
      <c r="BV512" s="995" t="s">
        <v>1844</v>
      </c>
      <c r="BW512" s="395"/>
      <c r="BX512" s="395"/>
      <c r="BY512" s="395"/>
      <c r="BZ512" s="144"/>
    </row>
    <row r="513" spans="1:78" s="141" customFormat="1" ht="40.5" customHeight="1" x14ac:dyDescent="0.25">
      <c r="A513" s="333">
        <v>501</v>
      </c>
      <c r="B513" s="845" t="s">
        <v>1710</v>
      </c>
      <c r="C513" s="846" t="s">
        <v>2236</v>
      </c>
      <c r="D513" s="847" t="s">
        <v>1556</v>
      </c>
      <c r="E513" s="847" t="s">
        <v>1561</v>
      </c>
      <c r="F513" s="847"/>
      <c r="G513" s="847"/>
      <c r="H513" s="847"/>
      <c r="I513" s="641">
        <v>1</v>
      </c>
      <c r="J513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13" s="625">
        <f>Таблица7[[#This Row],[Размер отряда минимум]]*1.25</f>
        <v>112.5</v>
      </c>
      <c r="L513" s="625">
        <f>Таблица7[[#This Row],[Размер отряда норма]]*1.5</f>
        <v>168.75</v>
      </c>
      <c r="M513" s="626">
        <f>Таблица7[[#This Row],[Размер отряда минимум]]*2.5</f>
        <v>225</v>
      </c>
      <c r="N513" s="626"/>
      <c r="O513" s="626"/>
      <c r="P513" s="626"/>
      <c r="Q513" s="626"/>
      <c r="R513" s="846" t="s">
        <v>1432</v>
      </c>
      <c r="S513" s="846" t="s">
        <v>2314</v>
      </c>
      <c r="T513" s="847" t="s">
        <v>975</v>
      </c>
      <c r="U513" s="848" t="s">
        <v>1736</v>
      </c>
      <c r="V513" s="849" t="s">
        <v>2263</v>
      </c>
      <c r="W513" s="850" t="s">
        <v>993</v>
      </c>
      <c r="X513" s="847" t="s">
        <v>994</v>
      </c>
      <c r="Y513" s="846" t="s">
        <v>1932</v>
      </c>
      <c r="Z513" s="847"/>
      <c r="AA513" s="846"/>
      <c r="AB513" s="847"/>
      <c r="AC513" s="847"/>
      <c r="AD513" s="850" t="s">
        <v>1158</v>
      </c>
      <c r="AE513" s="850" t="s">
        <v>1962</v>
      </c>
      <c r="AF513" s="847" t="s">
        <v>1211</v>
      </c>
      <c r="AG513" s="847" t="s">
        <v>1963</v>
      </c>
      <c r="AH513" s="847" t="s">
        <v>985</v>
      </c>
      <c r="AI513" s="847"/>
      <c r="AJ513" s="850" t="s">
        <v>985</v>
      </c>
      <c r="AK513" s="850"/>
      <c r="AL513" s="851" t="s">
        <v>985</v>
      </c>
      <c r="AM513" s="846" t="s">
        <v>1136</v>
      </c>
      <c r="AN513" s="846" t="s">
        <v>1136</v>
      </c>
      <c r="AO513" s="846" t="s">
        <v>2072</v>
      </c>
      <c r="AP513" s="862" t="s">
        <v>2315</v>
      </c>
      <c r="AQ513" s="862" t="s">
        <v>2316</v>
      </c>
      <c r="AS513" s="141">
        <v>1500</v>
      </c>
      <c r="AT513" s="143">
        <v>1550</v>
      </c>
      <c r="AU513" s="852">
        <v>7</v>
      </c>
      <c r="AV513" s="395"/>
      <c r="AW513" s="395">
        <f>VLOOKUP(Таблица7[[#This Row],[Основное оружие]], Оружие[#All], 2, 0)</f>
        <v>1</v>
      </c>
      <c r="AX513" s="395" t="str">
        <f>IF(ISBLANK(Таблица7[[#This Row],[Дополнительное оружие]]),"", VLOOKUP(Таблица7[[#This Row],[Дополнительное оружие]], Оружие[#All], 2, 0))</f>
        <v/>
      </c>
      <c r="AY513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13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13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3" s="395">
        <f>VLOOKUP(Таблица7[[#This Row],[Основное оружие]], Оружие[#All], 3, 0)</f>
        <v>1</v>
      </c>
      <c r="BC513" s="395" t="str">
        <f>IF(ISBLANK(Таблица7[[#This Row],[Дополнительное оружие]]),"", VLOOKUP(Таблица7[[#This Row],[Дополнительное оружие]], Оружие[#All], 3, 0))</f>
        <v/>
      </c>
      <c r="BD513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13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13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3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13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13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3" s="395">
        <f>Таблица7[[#This Row],[Броня]]+Таблица7[[#This Row],[Щит]]+Таблица7[[#This Row],[навык защиты]]</f>
        <v>18</v>
      </c>
      <c r="BK513" s="995"/>
      <c r="BL513" s="995"/>
      <c r="BM513" s="395"/>
      <c r="BN513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13" s="395">
        <v>3</v>
      </c>
      <c r="BP513" s="395">
        <v>-1</v>
      </c>
      <c r="BQ513" s="395">
        <v>-2</v>
      </c>
      <c r="BR513" s="395">
        <v>-2</v>
      </c>
      <c r="BS513" s="395">
        <v>2</v>
      </c>
      <c r="BT513" s="395">
        <v>12</v>
      </c>
      <c r="BU513" s="995" t="s">
        <v>1841</v>
      </c>
      <c r="BV513" s="995" t="s">
        <v>1844</v>
      </c>
      <c r="BW513" s="395"/>
      <c r="BX513" s="395"/>
      <c r="BY513" s="395"/>
      <c r="BZ513" s="144"/>
    </row>
    <row r="514" spans="1:78" s="141" customFormat="1" ht="40.5" customHeight="1" x14ac:dyDescent="0.25">
      <c r="A514" s="333">
        <v>501</v>
      </c>
      <c r="B514" s="845" t="s">
        <v>1710</v>
      </c>
      <c r="C514" s="846" t="s">
        <v>2236</v>
      </c>
      <c r="D514" s="847" t="s">
        <v>1556</v>
      </c>
      <c r="E514" s="847" t="s">
        <v>1561</v>
      </c>
      <c r="F514" s="847"/>
      <c r="G514" s="847"/>
      <c r="H514" s="847"/>
      <c r="I514" s="641">
        <v>1</v>
      </c>
      <c r="J514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514" s="625">
        <f>Таблица7[[#This Row],[Размер отряда минимум]]*1.25</f>
        <v>125</v>
      </c>
      <c r="L514" s="625">
        <f>Таблица7[[#This Row],[Размер отряда норма]]*1.5</f>
        <v>187.5</v>
      </c>
      <c r="M514" s="626">
        <f>Таблица7[[#This Row],[Размер отряда минимум]]*2.5</f>
        <v>250</v>
      </c>
      <c r="N514" s="626"/>
      <c r="O514" s="626"/>
      <c r="P514" s="626"/>
      <c r="Q514" s="626"/>
      <c r="R514" s="846" t="s">
        <v>1432</v>
      </c>
      <c r="S514" s="846" t="s">
        <v>2314</v>
      </c>
      <c r="T514" s="847" t="s">
        <v>976</v>
      </c>
      <c r="U514" s="752" t="s">
        <v>1736</v>
      </c>
      <c r="V514" s="849" t="s">
        <v>2263</v>
      </c>
      <c r="W514" s="850" t="s">
        <v>993</v>
      </c>
      <c r="X514" s="847" t="s">
        <v>994</v>
      </c>
      <c r="Y514" s="846" t="s">
        <v>1932</v>
      </c>
      <c r="Z514" s="847"/>
      <c r="AA514" s="846"/>
      <c r="AB514" s="847"/>
      <c r="AC514" s="847"/>
      <c r="AD514" s="850" t="s">
        <v>1158</v>
      </c>
      <c r="AE514" s="850" t="s">
        <v>1962</v>
      </c>
      <c r="AF514" s="847" t="s">
        <v>1211</v>
      </c>
      <c r="AG514" s="847" t="s">
        <v>1963</v>
      </c>
      <c r="AH514" s="847" t="s">
        <v>985</v>
      </c>
      <c r="AI514" s="847"/>
      <c r="AJ514" s="850" t="s">
        <v>985</v>
      </c>
      <c r="AK514" s="850"/>
      <c r="AL514" s="851" t="s">
        <v>985</v>
      </c>
      <c r="AM514" s="846" t="s">
        <v>1136</v>
      </c>
      <c r="AN514" s="846" t="s">
        <v>1136</v>
      </c>
      <c r="AO514" s="846" t="s">
        <v>2072</v>
      </c>
      <c r="AP514" s="862" t="s">
        <v>2315</v>
      </c>
      <c r="AQ514" s="862" t="s">
        <v>2316</v>
      </c>
      <c r="AS514" s="141">
        <v>1550</v>
      </c>
      <c r="AT514" s="143"/>
      <c r="AU514" s="852">
        <v>7</v>
      </c>
      <c r="AV514" s="395"/>
      <c r="AW514" s="395">
        <f>VLOOKUP(Таблица7[[#This Row],[Основное оружие]], Оружие[#All], 2, 0)</f>
        <v>1</v>
      </c>
      <c r="AX514" s="395" t="str">
        <f>IF(ISBLANK(Таблица7[[#This Row],[Дополнительное оружие]]),"", VLOOKUP(Таблица7[[#This Row],[Дополнительное оружие]], Оружие[#All], 2, 0))</f>
        <v/>
      </c>
      <c r="AY514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14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14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4" s="395">
        <f>VLOOKUP(Таблица7[[#This Row],[Основное оружие]], Оружие[#All], 3, 0)</f>
        <v>1</v>
      </c>
      <c r="BC514" s="395" t="str">
        <f>IF(ISBLANK(Таблица7[[#This Row],[Дополнительное оружие]]),"", VLOOKUP(Таблица7[[#This Row],[Дополнительное оружие]], Оружие[#All], 3, 0))</f>
        <v/>
      </c>
      <c r="BD514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14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14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4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14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14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4" s="395">
        <f>Таблица7[[#This Row],[Броня]]+Таблица7[[#This Row],[Щит]]+Таблица7[[#This Row],[навык защиты]]</f>
        <v>18</v>
      </c>
      <c r="BK514" s="995"/>
      <c r="BL514" s="995"/>
      <c r="BM514" s="395"/>
      <c r="BN514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14" s="395">
        <v>3</v>
      </c>
      <c r="BP514" s="395">
        <v>-1</v>
      </c>
      <c r="BQ514" s="395">
        <v>-2</v>
      </c>
      <c r="BR514" s="395">
        <v>-2</v>
      </c>
      <c r="BS514" s="395">
        <v>2</v>
      </c>
      <c r="BT514" s="395">
        <v>12</v>
      </c>
      <c r="BU514" s="995" t="s">
        <v>1841</v>
      </c>
      <c r="BV514" s="995" t="s">
        <v>1844</v>
      </c>
      <c r="BW514" s="395"/>
      <c r="BX514" s="395"/>
      <c r="BY514" s="395"/>
      <c r="BZ514" s="144"/>
    </row>
    <row r="515" spans="1:78" s="141" customFormat="1" ht="40.5" customHeight="1" x14ac:dyDescent="0.25">
      <c r="A515" s="333">
        <v>501</v>
      </c>
      <c r="B515" s="845" t="s">
        <v>1711</v>
      </c>
      <c r="C515" s="846" t="s">
        <v>2278</v>
      </c>
      <c r="D515" s="847" t="s">
        <v>1556</v>
      </c>
      <c r="E515" s="847" t="s">
        <v>1448</v>
      </c>
      <c r="F515" s="847"/>
      <c r="G515" s="847"/>
      <c r="H515" s="847"/>
      <c r="I515" s="641">
        <v>1</v>
      </c>
      <c r="J515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15" s="625">
        <f>Таблица7[[#This Row],[Размер отряда минимум]]*1.25</f>
        <v>112.5</v>
      </c>
      <c r="L515" s="625">
        <f>Таблица7[[#This Row],[Размер отряда норма]]*1.5</f>
        <v>168.75</v>
      </c>
      <c r="M515" s="626">
        <f>Таблица7[[#This Row],[Размер отряда минимум]]*2.5</f>
        <v>225</v>
      </c>
      <c r="N515" s="626"/>
      <c r="O515" s="626"/>
      <c r="P515" s="626"/>
      <c r="Q515" s="626"/>
      <c r="R515" s="846" t="s">
        <v>1432</v>
      </c>
      <c r="S515" s="846" t="s">
        <v>2314</v>
      </c>
      <c r="T515" s="847" t="s">
        <v>975</v>
      </c>
      <c r="U515" s="848" t="s">
        <v>1737</v>
      </c>
      <c r="V515" s="849" t="s">
        <v>2273</v>
      </c>
      <c r="W515" s="850" t="s">
        <v>993</v>
      </c>
      <c r="X515" s="847" t="s">
        <v>996</v>
      </c>
      <c r="Y515" s="846" t="s">
        <v>1973</v>
      </c>
      <c r="Z515" s="847"/>
      <c r="AA515" s="847"/>
      <c r="AB515" s="847"/>
      <c r="AC515" s="847"/>
      <c r="AD515" s="850" t="s">
        <v>1158</v>
      </c>
      <c r="AE515" s="850" t="s">
        <v>1962</v>
      </c>
      <c r="AF515" s="847" t="s">
        <v>1211</v>
      </c>
      <c r="AG515" s="847" t="s">
        <v>1963</v>
      </c>
      <c r="AH515" s="847" t="s">
        <v>985</v>
      </c>
      <c r="AI515" s="847"/>
      <c r="AJ515" s="850" t="s">
        <v>985</v>
      </c>
      <c r="AK515" s="850"/>
      <c r="AL515" s="851" t="s">
        <v>985</v>
      </c>
      <c r="AM515" s="846" t="s">
        <v>1136</v>
      </c>
      <c r="AN515" s="846" t="s">
        <v>1136</v>
      </c>
      <c r="AO515" s="846" t="s">
        <v>2072</v>
      </c>
      <c r="AP515" s="862" t="s">
        <v>2315</v>
      </c>
      <c r="AQ515" s="888" t="s">
        <v>2316</v>
      </c>
      <c r="AS515" s="141">
        <v>1500</v>
      </c>
      <c r="AT515" s="143">
        <v>1550</v>
      </c>
      <c r="AU515" s="395">
        <v>7</v>
      </c>
      <c r="AV515" s="395"/>
      <c r="AW515" s="395">
        <f>VLOOKUP(Таблица7[[#This Row],[Основное оружие]], Оружие[#All], 2, 0)</f>
        <v>7</v>
      </c>
      <c r="AX515" s="395" t="str">
        <f>IF(ISBLANK(Таблица7[[#This Row],[Дополнительное оружие]]),"", VLOOKUP(Таблица7[[#This Row],[Дополнительное оружие]], Оружие[#All], 2, 0))</f>
        <v/>
      </c>
      <c r="AY515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515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515" s="85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5" s="395">
        <f>VLOOKUP(Таблица7[[#This Row],[Основное оружие]], Оружие[#All], 3, 0)</f>
        <v>3</v>
      </c>
      <c r="BC515" s="395" t="str">
        <f>IF(ISBLANK(Таблица7[[#This Row],[Дополнительное оружие]]),"", VLOOKUP(Таблица7[[#This Row],[Дополнительное оружие]], Оружие[#All], 3, 0))</f>
        <v/>
      </c>
      <c r="BD515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15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15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5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15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15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5" s="395">
        <f>Таблица7[[#This Row],[Броня]]+Таблица7[[#This Row],[Щит]]+Таблица7[[#This Row],[навык защиты]]</f>
        <v>20</v>
      </c>
      <c r="BK515" s="995"/>
      <c r="BL515" s="995"/>
      <c r="BM515" s="395"/>
      <c r="BN515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15" s="395">
        <v>3</v>
      </c>
      <c r="BP515" s="395">
        <v>0</v>
      </c>
      <c r="BQ515" s="395">
        <v>-2</v>
      </c>
      <c r="BR515" s="395">
        <v>-1</v>
      </c>
      <c r="BS515" s="395">
        <v>2</v>
      </c>
      <c r="BT515" s="395">
        <v>12</v>
      </c>
      <c r="BU515" s="995" t="s">
        <v>1841</v>
      </c>
      <c r="BV515" s="995" t="s">
        <v>1844</v>
      </c>
      <c r="BW515" s="395"/>
      <c r="BX515" s="395"/>
      <c r="BY515" s="395"/>
      <c r="BZ515" s="144"/>
    </row>
    <row r="516" spans="1:78" s="141" customFormat="1" ht="40.5" customHeight="1" x14ac:dyDescent="0.25">
      <c r="A516" s="333">
        <v>501</v>
      </c>
      <c r="B516" s="845" t="s">
        <v>1712</v>
      </c>
      <c r="C516" s="888" t="s">
        <v>2237</v>
      </c>
      <c r="D516" s="847" t="s">
        <v>1556</v>
      </c>
      <c r="E516" s="847" t="s">
        <v>1561</v>
      </c>
      <c r="F516" s="847"/>
      <c r="G516" s="847"/>
      <c r="H516" s="847"/>
      <c r="I516" s="641">
        <v>1</v>
      </c>
      <c r="J516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16" s="625">
        <f>Таблица7[[#This Row],[Размер отряда минимум]]*1.25</f>
        <v>112.5</v>
      </c>
      <c r="L516" s="625">
        <f>Таблица7[[#This Row],[Размер отряда норма]]*1.5</f>
        <v>168.75</v>
      </c>
      <c r="M516" s="626">
        <f>Таблица7[[#This Row],[Размер отряда минимум]]*2.5</f>
        <v>225</v>
      </c>
      <c r="N516" s="626"/>
      <c r="O516" s="626"/>
      <c r="P516" s="626"/>
      <c r="Q516" s="626"/>
      <c r="R516" s="846" t="s">
        <v>1432</v>
      </c>
      <c r="S516" s="846" t="s">
        <v>2314</v>
      </c>
      <c r="T516" s="847" t="s">
        <v>975</v>
      </c>
      <c r="U516" s="752" t="s">
        <v>1738</v>
      </c>
      <c r="V516" s="849" t="s">
        <v>2275</v>
      </c>
      <c r="W516" s="850" t="s">
        <v>993</v>
      </c>
      <c r="X516" s="847" t="s">
        <v>994</v>
      </c>
      <c r="Y516" s="846" t="s">
        <v>1932</v>
      </c>
      <c r="Z516" s="847"/>
      <c r="AA516" s="846"/>
      <c r="AB516" s="847"/>
      <c r="AC516" s="847"/>
      <c r="AD516" s="850" t="s">
        <v>1158</v>
      </c>
      <c r="AE516" s="850" t="s">
        <v>1962</v>
      </c>
      <c r="AF516" s="847" t="s">
        <v>1211</v>
      </c>
      <c r="AG516" s="847" t="s">
        <v>1963</v>
      </c>
      <c r="AH516" s="847" t="s">
        <v>985</v>
      </c>
      <c r="AI516" s="847"/>
      <c r="AJ516" s="850" t="s">
        <v>985</v>
      </c>
      <c r="AK516" s="850"/>
      <c r="AL516" s="851" t="s">
        <v>985</v>
      </c>
      <c r="AM516" s="846" t="s">
        <v>1136</v>
      </c>
      <c r="AN516" s="846" t="s">
        <v>1136</v>
      </c>
      <c r="AO516" s="846" t="s">
        <v>2072</v>
      </c>
      <c r="AP516" s="862" t="s">
        <v>2315</v>
      </c>
      <c r="AQ516" s="862" t="s">
        <v>2316</v>
      </c>
      <c r="AS516" s="141">
        <v>1500</v>
      </c>
      <c r="AT516" s="143">
        <v>1550</v>
      </c>
      <c r="AU516" s="852">
        <v>7</v>
      </c>
      <c r="AV516" s="395"/>
      <c r="AW516" s="395">
        <f>VLOOKUP(Таблица7[[#This Row],[Основное оружие]], Оружие[#All], 2, 0)</f>
        <v>1</v>
      </c>
      <c r="AX516" s="395" t="str">
        <f>IF(ISBLANK(Таблица7[[#This Row],[Дополнительное оружие]]),"", VLOOKUP(Таблица7[[#This Row],[Дополнительное оружие]], Оружие[#All], 2, 0))</f>
        <v/>
      </c>
      <c r="AY516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16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16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6" s="395">
        <f>VLOOKUP(Таблица7[[#This Row],[Основное оружие]], Оружие[#All], 3, 0)</f>
        <v>1</v>
      </c>
      <c r="BC516" s="395" t="str">
        <f>IF(ISBLANK(Таблица7[[#This Row],[Дополнительное оружие]]),"", VLOOKUP(Таблица7[[#This Row],[Дополнительное оружие]], Оружие[#All], 3, 0))</f>
        <v/>
      </c>
      <c r="BD516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16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16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6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16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16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6" s="395">
        <f>Таблица7[[#This Row],[Броня]]+Таблица7[[#This Row],[Щит]]+Таблица7[[#This Row],[навык защиты]]</f>
        <v>18</v>
      </c>
      <c r="BK516" s="995"/>
      <c r="BL516" s="995"/>
      <c r="BM516" s="395"/>
      <c r="BN516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16" s="395">
        <v>3</v>
      </c>
      <c r="BP516" s="395">
        <v>-1</v>
      </c>
      <c r="BQ516" s="395">
        <v>-2</v>
      </c>
      <c r="BR516" s="395">
        <v>-2</v>
      </c>
      <c r="BS516" s="395">
        <v>2</v>
      </c>
      <c r="BT516" s="395">
        <v>12</v>
      </c>
      <c r="BU516" s="995" t="s">
        <v>1841</v>
      </c>
      <c r="BV516" s="995" t="s">
        <v>1844</v>
      </c>
      <c r="BW516" s="395"/>
      <c r="BX516" s="395"/>
      <c r="BY516" s="395"/>
      <c r="BZ516" s="144"/>
    </row>
    <row r="517" spans="1:78" s="141" customFormat="1" ht="40.5" customHeight="1" x14ac:dyDescent="0.25">
      <c r="A517" s="333">
        <v>501</v>
      </c>
      <c r="B517" s="845" t="s">
        <v>1712</v>
      </c>
      <c r="C517" s="846" t="s">
        <v>2237</v>
      </c>
      <c r="D517" s="847" t="s">
        <v>1556</v>
      </c>
      <c r="E517" s="847" t="s">
        <v>1561</v>
      </c>
      <c r="F517" s="847"/>
      <c r="G517" s="847"/>
      <c r="H517" s="847"/>
      <c r="I517" s="641">
        <v>1</v>
      </c>
      <c r="J517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517" s="625">
        <f>Таблица7[[#This Row],[Размер отряда минимум]]*1.25</f>
        <v>125</v>
      </c>
      <c r="L517" s="625">
        <f>Таблица7[[#This Row],[Размер отряда норма]]*1.5</f>
        <v>187.5</v>
      </c>
      <c r="M517" s="626">
        <f>Таблица7[[#This Row],[Размер отряда минимум]]*2.5</f>
        <v>250</v>
      </c>
      <c r="N517" s="626"/>
      <c r="O517" s="626"/>
      <c r="P517" s="626"/>
      <c r="Q517" s="626"/>
      <c r="R517" s="846" t="s">
        <v>1432</v>
      </c>
      <c r="S517" s="846" t="s">
        <v>2314</v>
      </c>
      <c r="T517" s="847" t="s">
        <v>976</v>
      </c>
      <c r="U517" s="752" t="s">
        <v>1738</v>
      </c>
      <c r="V517" s="849" t="s">
        <v>2275</v>
      </c>
      <c r="W517" s="850" t="s">
        <v>993</v>
      </c>
      <c r="X517" s="847" t="s">
        <v>994</v>
      </c>
      <c r="Y517" s="846" t="s">
        <v>1932</v>
      </c>
      <c r="Z517" s="847"/>
      <c r="AA517" s="846"/>
      <c r="AB517" s="847"/>
      <c r="AC517" s="847"/>
      <c r="AD517" s="850" t="s">
        <v>1158</v>
      </c>
      <c r="AE517" s="850" t="s">
        <v>1962</v>
      </c>
      <c r="AF517" s="847" t="s">
        <v>1211</v>
      </c>
      <c r="AG517" s="847" t="s">
        <v>1963</v>
      </c>
      <c r="AH517" s="847" t="s">
        <v>985</v>
      </c>
      <c r="AI517" s="847"/>
      <c r="AJ517" s="850" t="s">
        <v>985</v>
      </c>
      <c r="AK517" s="850"/>
      <c r="AL517" s="851" t="s">
        <v>985</v>
      </c>
      <c r="AM517" s="846" t="s">
        <v>1136</v>
      </c>
      <c r="AN517" s="846" t="s">
        <v>1136</v>
      </c>
      <c r="AO517" s="846" t="s">
        <v>2072</v>
      </c>
      <c r="AP517" s="862" t="s">
        <v>2315</v>
      </c>
      <c r="AQ517" s="862" t="s">
        <v>2316</v>
      </c>
      <c r="AS517" s="141">
        <v>1550</v>
      </c>
      <c r="AT517" s="143"/>
      <c r="AU517" s="852">
        <v>7</v>
      </c>
      <c r="AV517" s="395"/>
      <c r="AW517" s="395">
        <f>VLOOKUP(Таблица7[[#This Row],[Основное оружие]], Оружие[#All], 2, 0)</f>
        <v>1</v>
      </c>
      <c r="AX517" s="395" t="str">
        <f>IF(ISBLANK(Таблица7[[#This Row],[Дополнительное оружие]]),"", VLOOKUP(Таблица7[[#This Row],[Дополнительное оружие]], Оружие[#All], 2, 0))</f>
        <v/>
      </c>
      <c r="AY517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17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17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7" s="395">
        <f>VLOOKUP(Таблица7[[#This Row],[Основное оружие]], Оружие[#All], 3, 0)</f>
        <v>1</v>
      </c>
      <c r="BC517" s="395" t="str">
        <f>IF(ISBLANK(Таблица7[[#This Row],[Дополнительное оружие]]),"", VLOOKUP(Таблица7[[#This Row],[Дополнительное оружие]], Оружие[#All], 3, 0))</f>
        <v/>
      </c>
      <c r="BD517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17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17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7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17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17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7" s="395">
        <f>Таблица7[[#This Row],[Броня]]+Таблица7[[#This Row],[Щит]]+Таблица7[[#This Row],[навык защиты]]</f>
        <v>18</v>
      </c>
      <c r="BK517" s="995"/>
      <c r="BL517" s="995"/>
      <c r="BM517" s="395"/>
      <c r="BN517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17" s="395">
        <v>3</v>
      </c>
      <c r="BP517" s="395">
        <v>-1</v>
      </c>
      <c r="BQ517" s="395">
        <v>-2</v>
      </c>
      <c r="BR517" s="395">
        <v>-2</v>
      </c>
      <c r="BS517" s="395">
        <v>2</v>
      </c>
      <c r="BT517" s="395">
        <v>12</v>
      </c>
      <c r="BU517" s="995" t="s">
        <v>1841</v>
      </c>
      <c r="BV517" s="995" t="s">
        <v>1844</v>
      </c>
      <c r="BW517" s="395"/>
      <c r="BX517" s="395"/>
      <c r="BY517" s="395"/>
      <c r="BZ517" s="144"/>
    </row>
    <row r="518" spans="1:78" s="141" customFormat="1" ht="40.5" customHeight="1" x14ac:dyDescent="0.25">
      <c r="A518" s="333">
        <v>501</v>
      </c>
      <c r="B518" s="845" t="s">
        <v>1713</v>
      </c>
      <c r="C518" s="846" t="s">
        <v>2277</v>
      </c>
      <c r="D518" s="847" t="s">
        <v>1556</v>
      </c>
      <c r="E518" s="847" t="s">
        <v>1448</v>
      </c>
      <c r="F518" s="847"/>
      <c r="G518" s="847"/>
      <c r="H518" s="847"/>
      <c r="I518" s="641">
        <v>1</v>
      </c>
      <c r="J518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18" s="625">
        <f>Таблица7[[#This Row],[Размер отряда минимум]]*1.25</f>
        <v>112.5</v>
      </c>
      <c r="L518" s="625">
        <f>Таблица7[[#This Row],[Размер отряда норма]]*1.5</f>
        <v>168.75</v>
      </c>
      <c r="M518" s="626">
        <f>Таблица7[[#This Row],[Размер отряда минимум]]*2.5</f>
        <v>225</v>
      </c>
      <c r="N518" s="626"/>
      <c r="O518" s="626"/>
      <c r="P518" s="626"/>
      <c r="Q518" s="626"/>
      <c r="R518" s="846" t="s">
        <v>1432</v>
      </c>
      <c r="S518" s="846" t="s">
        <v>2314</v>
      </c>
      <c r="T518" s="847" t="s">
        <v>975</v>
      </c>
      <c r="U518" s="848" t="s">
        <v>1739</v>
      </c>
      <c r="V518" s="849" t="s">
        <v>2279</v>
      </c>
      <c r="W518" s="850" t="s">
        <v>993</v>
      </c>
      <c r="X518" s="847" t="s">
        <v>996</v>
      </c>
      <c r="Y518" s="846" t="s">
        <v>1973</v>
      </c>
      <c r="Z518" s="847"/>
      <c r="AA518" s="847"/>
      <c r="AB518" s="847"/>
      <c r="AC518" s="847"/>
      <c r="AD518" s="850" t="s">
        <v>1158</v>
      </c>
      <c r="AE518" s="850" t="s">
        <v>1962</v>
      </c>
      <c r="AF518" s="847" t="s">
        <v>1211</v>
      </c>
      <c r="AG518" s="847" t="s">
        <v>1963</v>
      </c>
      <c r="AH518" s="847" t="s">
        <v>985</v>
      </c>
      <c r="AI518" s="847"/>
      <c r="AJ518" s="850" t="s">
        <v>985</v>
      </c>
      <c r="AK518" s="850"/>
      <c r="AL518" s="851" t="s">
        <v>985</v>
      </c>
      <c r="AM518" s="846" t="s">
        <v>1136</v>
      </c>
      <c r="AN518" s="846" t="s">
        <v>1136</v>
      </c>
      <c r="AO518" s="846" t="s">
        <v>2072</v>
      </c>
      <c r="AP518" s="862" t="s">
        <v>2315</v>
      </c>
      <c r="AQ518" s="862" t="s">
        <v>2316</v>
      </c>
      <c r="AS518" s="141">
        <v>1500</v>
      </c>
      <c r="AT518" s="143">
        <v>1550</v>
      </c>
      <c r="AU518" s="395">
        <v>7</v>
      </c>
      <c r="AV518" s="395"/>
      <c r="AW518" s="395">
        <f>VLOOKUP(Таблица7[[#This Row],[Основное оружие]], Оружие[#All], 2, 0)</f>
        <v>7</v>
      </c>
      <c r="AX518" s="395" t="str">
        <f>IF(ISBLANK(Таблица7[[#This Row],[Дополнительное оружие]]),"", VLOOKUP(Таблица7[[#This Row],[Дополнительное оружие]], Оружие[#All], 2, 0))</f>
        <v/>
      </c>
      <c r="AY518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518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518" s="85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8" s="395">
        <f>VLOOKUP(Таблица7[[#This Row],[Основное оружие]], Оружие[#All], 3, 0)</f>
        <v>3</v>
      </c>
      <c r="BC518" s="395" t="str">
        <f>IF(ISBLANK(Таблица7[[#This Row],[Дополнительное оружие]]),"", VLOOKUP(Таблица7[[#This Row],[Дополнительное оружие]], Оружие[#All], 3, 0))</f>
        <v/>
      </c>
      <c r="BD518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18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18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8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18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18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8" s="395">
        <f>Таблица7[[#This Row],[Броня]]+Таблица7[[#This Row],[Щит]]+Таблица7[[#This Row],[навык защиты]]</f>
        <v>20</v>
      </c>
      <c r="BK518" s="995"/>
      <c r="BL518" s="995"/>
      <c r="BM518" s="395"/>
      <c r="BN518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18" s="395">
        <v>3</v>
      </c>
      <c r="BP518" s="395">
        <v>0</v>
      </c>
      <c r="BQ518" s="395">
        <v>-2</v>
      </c>
      <c r="BR518" s="395">
        <v>-1</v>
      </c>
      <c r="BS518" s="395">
        <v>2</v>
      </c>
      <c r="BT518" s="395">
        <v>12</v>
      </c>
      <c r="BU518" s="995" t="s">
        <v>1841</v>
      </c>
      <c r="BV518" s="995" t="s">
        <v>1844</v>
      </c>
      <c r="BW518" s="395"/>
      <c r="BX518" s="395"/>
      <c r="BY518" s="395"/>
      <c r="BZ518" s="144"/>
    </row>
    <row r="519" spans="1:78" s="141" customFormat="1" ht="40.5" customHeight="1" x14ac:dyDescent="0.25">
      <c r="A519" s="333">
        <v>501</v>
      </c>
      <c r="B519" s="671" t="s">
        <v>1742</v>
      </c>
      <c r="C519" s="846" t="s">
        <v>2281</v>
      </c>
      <c r="D519" s="847" t="s">
        <v>1556</v>
      </c>
      <c r="E519" s="847" t="s">
        <v>1547</v>
      </c>
      <c r="F519" s="847"/>
      <c r="G519" s="847"/>
      <c r="H519" s="847"/>
      <c r="I519" s="641">
        <v>1</v>
      </c>
      <c r="J519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519" s="625">
        <f>Таблица7[[#This Row],[Размер отряда минимум]]*1.25</f>
        <v>100</v>
      </c>
      <c r="L519" s="625">
        <f>Таблица7[[#This Row],[Размер отряда норма]]*1.5</f>
        <v>150</v>
      </c>
      <c r="M519" s="626">
        <f>Таблица7[[#This Row],[Размер отряда минимум]]*2.5</f>
        <v>200</v>
      </c>
      <c r="N519" s="626"/>
      <c r="O519" s="626"/>
      <c r="P519" s="626"/>
      <c r="Q519" s="626"/>
      <c r="R519" s="846" t="s">
        <v>1432</v>
      </c>
      <c r="S519" s="846" t="s">
        <v>2314</v>
      </c>
      <c r="T519" s="847" t="s">
        <v>975</v>
      </c>
      <c r="U519" s="848" t="s">
        <v>1741</v>
      </c>
      <c r="V519" s="849" t="s">
        <v>2282</v>
      </c>
      <c r="W519" s="850" t="s">
        <v>993</v>
      </c>
      <c r="X519" s="847" t="s">
        <v>996</v>
      </c>
      <c r="Y519" s="846" t="s">
        <v>1973</v>
      </c>
      <c r="Z519" s="847"/>
      <c r="AA519" s="847"/>
      <c r="AB519" s="847"/>
      <c r="AC519" s="847"/>
      <c r="AD519" s="850" t="s">
        <v>1482</v>
      </c>
      <c r="AE519" s="850" t="s">
        <v>1975</v>
      </c>
      <c r="AF519" s="847" t="s">
        <v>1481</v>
      </c>
      <c r="AG519" s="847" t="s">
        <v>1978</v>
      </c>
      <c r="AH519" s="847" t="s">
        <v>985</v>
      </c>
      <c r="AI519" s="847"/>
      <c r="AJ519" s="847" t="s">
        <v>1004</v>
      </c>
      <c r="AK519" s="846" t="s">
        <v>1952</v>
      </c>
      <c r="AL519" s="851" t="s">
        <v>985</v>
      </c>
      <c r="AM519" s="846" t="s">
        <v>1136</v>
      </c>
      <c r="AN519" s="846" t="s">
        <v>1136</v>
      </c>
      <c r="AO519" s="846" t="s">
        <v>2072</v>
      </c>
      <c r="AP519" s="862" t="s">
        <v>2315</v>
      </c>
      <c r="AQ519" s="862" t="s">
        <v>2316</v>
      </c>
      <c r="AS519" s="141">
        <v>1500</v>
      </c>
      <c r="AT519" s="143">
        <v>1550</v>
      </c>
      <c r="AU519" s="395">
        <v>8</v>
      </c>
      <c r="AV519" s="395"/>
      <c r="AW519" s="395">
        <f>VLOOKUP(Таблица7[[#This Row],[Основное оружие]], Оружие[#All], 2, 0)</f>
        <v>7</v>
      </c>
      <c r="AX519" s="395" t="str">
        <f>IF(ISBLANK(Таблица7[[#This Row],[Дополнительное оружие]]),"", VLOOKUP(Таблица7[[#This Row],[Дополнительное оружие]], Оружие[#All], 2, 0))</f>
        <v/>
      </c>
      <c r="AY519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519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519" s="85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19" s="395">
        <f>VLOOKUP(Таблица7[[#This Row],[Основное оружие]], Оружие[#All], 3, 0)</f>
        <v>3</v>
      </c>
      <c r="BC519" s="395" t="str">
        <f>IF(ISBLANK(Таблица7[[#This Row],[Дополнительное оружие]]),"", VLOOKUP(Таблица7[[#This Row],[Дополнительное оружие]], Оружие[#All], 3, 0))</f>
        <v/>
      </c>
      <c r="BD519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519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519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19" s="39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519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19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19" s="395">
        <f>Таблица7[[#This Row],[Броня]]+Таблица7[[#This Row],[Щит]]+Таблица7[[#This Row],[навык защиты]]</f>
        <v>25</v>
      </c>
      <c r="BK519" s="995"/>
      <c r="BL519" s="995"/>
      <c r="BM519" s="395"/>
      <c r="BN519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19" s="395">
        <v>3</v>
      </c>
      <c r="BP519" s="395">
        <v>0</v>
      </c>
      <c r="BQ519" s="395">
        <v>-2</v>
      </c>
      <c r="BR519" s="395">
        <v>-1</v>
      </c>
      <c r="BS519" s="395">
        <v>2</v>
      </c>
      <c r="BT519" s="395">
        <v>12</v>
      </c>
      <c r="BU519" s="995" t="s">
        <v>1841</v>
      </c>
      <c r="BV519" s="995" t="s">
        <v>1844</v>
      </c>
      <c r="BW519" s="395"/>
      <c r="BX519" s="395"/>
      <c r="BY519" s="395"/>
      <c r="BZ519" s="144"/>
    </row>
    <row r="520" spans="1:78" s="141" customFormat="1" ht="40.5" customHeight="1" x14ac:dyDescent="0.25">
      <c r="A520" s="333">
        <v>501</v>
      </c>
      <c r="B520" s="671" t="s">
        <v>1742</v>
      </c>
      <c r="C520" s="846" t="s">
        <v>2281</v>
      </c>
      <c r="D520" s="847" t="s">
        <v>1556</v>
      </c>
      <c r="E520" s="847" t="s">
        <v>1547</v>
      </c>
      <c r="F520" s="847"/>
      <c r="G520" s="847"/>
      <c r="H520" s="847"/>
      <c r="I520" s="641">
        <v>1</v>
      </c>
      <c r="J520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20" s="625">
        <f>Таблица7[[#This Row],[Размер отряда минимум]]*1.25</f>
        <v>112.5</v>
      </c>
      <c r="L520" s="625">
        <f>Таблица7[[#This Row],[Размер отряда норма]]*1.5</f>
        <v>168.75</v>
      </c>
      <c r="M520" s="626">
        <f>Таблица7[[#This Row],[Размер отряда минимум]]*2.5</f>
        <v>225</v>
      </c>
      <c r="N520" s="626"/>
      <c r="O520" s="626"/>
      <c r="P520" s="626"/>
      <c r="Q520" s="626"/>
      <c r="R520" s="846" t="s">
        <v>1432</v>
      </c>
      <c r="S520" s="846" t="s">
        <v>2314</v>
      </c>
      <c r="T520" s="847" t="s">
        <v>976</v>
      </c>
      <c r="U520" s="752" t="s">
        <v>1741</v>
      </c>
      <c r="V520" s="849" t="s">
        <v>2282</v>
      </c>
      <c r="W520" s="850" t="s">
        <v>993</v>
      </c>
      <c r="X520" s="847" t="s">
        <v>996</v>
      </c>
      <c r="Y520" s="846" t="s">
        <v>1973</v>
      </c>
      <c r="Z520" s="847"/>
      <c r="AA520" s="847"/>
      <c r="AB520" s="847"/>
      <c r="AC520" s="847"/>
      <c r="AD520" s="850" t="s">
        <v>1482</v>
      </c>
      <c r="AE520" s="850" t="s">
        <v>1975</v>
      </c>
      <c r="AF520" s="847" t="s">
        <v>1481</v>
      </c>
      <c r="AG520" s="847" t="s">
        <v>1978</v>
      </c>
      <c r="AH520" s="847" t="s">
        <v>985</v>
      </c>
      <c r="AI520" s="847"/>
      <c r="AJ520" s="847" t="s">
        <v>1048</v>
      </c>
      <c r="AK520" s="847" t="s">
        <v>1953</v>
      </c>
      <c r="AL520" s="851" t="s">
        <v>985</v>
      </c>
      <c r="AM520" s="846" t="s">
        <v>1136</v>
      </c>
      <c r="AN520" s="846" t="s">
        <v>1136</v>
      </c>
      <c r="AO520" s="846" t="s">
        <v>2072</v>
      </c>
      <c r="AP520" s="862" t="s">
        <v>2315</v>
      </c>
      <c r="AQ520" s="862" t="s">
        <v>2316</v>
      </c>
      <c r="AS520" s="141">
        <v>1550</v>
      </c>
      <c r="AT520" s="143"/>
      <c r="AU520" s="395">
        <v>8</v>
      </c>
      <c r="AV520" s="395"/>
      <c r="AW520" s="395">
        <f>VLOOKUP(Таблица7[[#This Row],[Основное оружие]], Оружие[#All], 2, 0)</f>
        <v>7</v>
      </c>
      <c r="AX520" s="395" t="str">
        <f>IF(ISBLANK(Таблица7[[#This Row],[Дополнительное оружие]]),"", VLOOKUP(Таблица7[[#This Row],[Дополнительное оружие]], Оружие[#All], 2, 0))</f>
        <v/>
      </c>
      <c r="AY520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520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520" s="85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20" s="395">
        <f>VLOOKUP(Таблица7[[#This Row],[Основное оружие]], Оружие[#All], 3, 0)</f>
        <v>3</v>
      </c>
      <c r="BC520" s="395" t="str">
        <f>IF(ISBLANK(Таблица7[[#This Row],[Дополнительное оружие]]),"", VLOOKUP(Таблица7[[#This Row],[Дополнительное оружие]], Оружие[#All], 3, 0))</f>
        <v/>
      </c>
      <c r="BD520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520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520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0" s="39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520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20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0" s="395">
        <f>Таблица7[[#This Row],[Броня]]+Таблица7[[#This Row],[Щит]]+Таблица7[[#This Row],[навык защиты]]</f>
        <v>25</v>
      </c>
      <c r="BK520" s="995"/>
      <c r="BL520" s="995"/>
      <c r="BM520" s="395"/>
      <c r="BN520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20" s="395">
        <v>3</v>
      </c>
      <c r="BP520" s="395">
        <v>0</v>
      </c>
      <c r="BQ520" s="395">
        <v>-2</v>
      </c>
      <c r="BR520" s="395">
        <v>-1</v>
      </c>
      <c r="BS520" s="395">
        <v>2</v>
      </c>
      <c r="BT520" s="395">
        <v>12</v>
      </c>
      <c r="BU520" s="995" t="s">
        <v>1841</v>
      </c>
      <c r="BV520" s="995" t="s">
        <v>1844</v>
      </c>
      <c r="BW520" s="395"/>
      <c r="BX520" s="395"/>
      <c r="BY520" s="395"/>
      <c r="BZ520" s="144"/>
    </row>
    <row r="521" spans="1:78" s="141" customFormat="1" ht="40.5" customHeight="1" x14ac:dyDescent="0.25">
      <c r="A521" s="333">
        <v>501</v>
      </c>
      <c r="B521" s="846" t="s">
        <v>2285</v>
      </c>
      <c r="C521" s="846" t="s">
        <v>2286</v>
      </c>
      <c r="D521" s="847" t="s">
        <v>1556</v>
      </c>
      <c r="E521" s="847" t="s">
        <v>1562</v>
      </c>
      <c r="F521" s="847"/>
      <c r="G521" s="847"/>
      <c r="H521" s="847"/>
      <c r="I521" s="641">
        <v>1</v>
      </c>
      <c r="J521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521" s="625">
        <f>Таблица7[[#This Row],[Размер отряда минимум]]*1.25</f>
        <v>100</v>
      </c>
      <c r="L521" s="625">
        <f>Таблица7[[#This Row],[Размер отряда норма]]*1.5</f>
        <v>150</v>
      </c>
      <c r="M521" s="626">
        <f>Таблица7[[#This Row],[Размер отряда минимум]]*2.5</f>
        <v>200</v>
      </c>
      <c r="N521" s="626"/>
      <c r="O521" s="626"/>
      <c r="P521" s="626"/>
      <c r="Q521" s="626"/>
      <c r="R521" s="846" t="s">
        <v>1432</v>
      </c>
      <c r="S521" s="846" t="s">
        <v>2314</v>
      </c>
      <c r="T521" s="847" t="s">
        <v>975</v>
      </c>
      <c r="U521" s="848" t="s">
        <v>2287</v>
      </c>
      <c r="V521" s="849" t="s">
        <v>2288</v>
      </c>
      <c r="W521" s="850" t="s">
        <v>993</v>
      </c>
      <c r="X521" s="847" t="s">
        <v>994</v>
      </c>
      <c r="Y521" s="846" t="s">
        <v>1932</v>
      </c>
      <c r="Z521" s="847"/>
      <c r="AA521" s="846"/>
      <c r="AB521" s="847"/>
      <c r="AC521" s="847"/>
      <c r="AD521" s="850" t="s">
        <v>1482</v>
      </c>
      <c r="AE521" s="850" t="s">
        <v>1975</v>
      </c>
      <c r="AF521" s="847" t="s">
        <v>1481</v>
      </c>
      <c r="AG521" s="847" t="s">
        <v>1978</v>
      </c>
      <c r="AH521" s="847" t="s">
        <v>985</v>
      </c>
      <c r="AI521" s="847"/>
      <c r="AJ521" s="847" t="s">
        <v>1004</v>
      </c>
      <c r="AK521" s="846" t="s">
        <v>1952</v>
      </c>
      <c r="AL521" s="851" t="s">
        <v>985</v>
      </c>
      <c r="AM521" s="846" t="s">
        <v>1136</v>
      </c>
      <c r="AN521" s="846" t="s">
        <v>1136</v>
      </c>
      <c r="AO521" s="846" t="s">
        <v>2072</v>
      </c>
      <c r="AP521" s="862" t="s">
        <v>2315</v>
      </c>
      <c r="AQ521" s="862" t="s">
        <v>2316</v>
      </c>
      <c r="AS521" s="141">
        <v>1500</v>
      </c>
      <c r="AT521" s="143">
        <v>1550</v>
      </c>
      <c r="AU521" s="852">
        <v>8</v>
      </c>
      <c r="AV521" s="395"/>
      <c r="AW521" s="395">
        <f>VLOOKUP(Таблица7[[#This Row],[Основное оружие]], Оружие[#All], 2, 0)</f>
        <v>1</v>
      </c>
      <c r="AX521" s="395" t="str">
        <f>IF(ISBLANK(Таблица7[[#This Row],[Дополнительное оружие]]),"", VLOOKUP(Таблица7[[#This Row],[Дополнительное оружие]], Оружие[#All], 2, 0))</f>
        <v/>
      </c>
      <c r="AY521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21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21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21" s="395">
        <f>VLOOKUP(Таблица7[[#This Row],[Основное оружие]], Оружие[#All], 3, 0)</f>
        <v>1</v>
      </c>
      <c r="BC521" s="395" t="str">
        <f>IF(ISBLANK(Таблица7[[#This Row],[Дополнительное оружие]]),"", VLOOKUP(Таблица7[[#This Row],[Дополнительное оружие]], Оружие[#All], 3, 0))</f>
        <v/>
      </c>
      <c r="BD521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521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521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1" s="39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521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21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1" s="395">
        <f>Таблица7[[#This Row],[Броня]]+Таблица7[[#This Row],[Щит]]+Таблица7[[#This Row],[навык защиты]]</f>
        <v>23</v>
      </c>
      <c r="BK521" s="995"/>
      <c r="BL521" s="995"/>
      <c r="BM521" s="395"/>
      <c r="BN521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21" s="395">
        <v>3</v>
      </c>
      <c r="BP521" s="395">
        <v>-1</v>
      </c>
      <c r="BQ521" s="395">
        <v>-2</v>
      </c>
      <c r="BR521" s="395">
        <v>-2</v>
      </c>
      <c r="BS521" s="395">
        <v>2</v>
      </c>
      <c r="BT521" s="395">
        <v>12</v>
      </c>
      <c r="BU521" s="995" t="s">
        <v>1841</v>
      </c>
      <c r="BV521" s="995" t="s">
        <v>1844</v>
      </c>
      <c r="BW521" s="395"/>
      <c r="BX521" s="395"/>
      <c r="BY521" s="395"/>
      <c r="BZ521" s="144"/>
    </row>
    <row r="522" spans="1:78" s="141" customFormat="1" ht="40.5" customHeight="1" x14ac:dyDescent="0.25">
      <c r="A522" s="333">
        <v>501</v>
      </c>
      <c r="B522" s="846" t="s">
        <v>2285</v>
      </c>
      <c r="C522" s="846" t="s">
        <v>2286</v>
      </c>
      <c r="D522" s="847" t="s">
        <v>1556</v>
      </c>
      <c r="E522" s="847" t="s">
        <v>1562</v>
      </c>
      <c r="F522" s="847"/>
      <c r="G522" s="847"/>
      <c r="H522" s="847"/>
      <c r="I522" s="641">
        <v>1</v>
      </c>
      <c r="J522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22" s="625">
        <f>Таблица7[[#This Row],[Размер отряда минимум]]*1.25</f>
        <v>112.5</v>
      </c>
      <c r="L522" s="625">
        <f>Таблица7[[#This Row],[Размер отряда норма]]*1.5</f>
        <v>168.75</v>
      </c>
      <c r="M522" s="626">
        <f>Таблица7[[#This Row],[Размер отряда минимум]]*2.5</f>
        <v>225</v>
      </c>
      <c r="N522" s="626"/>
      <c r="O522" s="626"/>
      <c r="P522" s="626"/>
      <c r="Q522" s="626"/>
      <c r="R522" s="846" t="s">
        <v>1432</v>
      </c>
      <c r="S522" s="846" t="s">
        <v>2314</v>
      </c>
      <c r="T522" s="847" t="s">
        <v>976</v>
      </c>
      <c r="U522" s="848" t="s">
        <v>2287</v>
      </c>
      <c r="V522" s="849" t="s">
        <v>2288</v>
      </c>
      <c r="W522" s="847" t="s">
        <v>993</v>
      </c>
      <c r="X522" s="847" t="s">
        <v>994</v>
      </c>
      <c r="Y522" s="846" t="s">
        <v>1932</v>
      </c>
      <c r="Z522" s="847"/>
      <c r="AA522" s="846"/>
      <c r="AB522" s="847"/>
      <c r="AC522" s="847"/>
      <c r="AD522" s="850" t="s">
        <v>1482</v>
      </c>
      <c r="AE522" s="850" t="s">
        <v>1975</v>
      </c>
      <c r="AF522" s="847" t="s">
        <v>1481</v>
      </c>
      <c r="AG522" s="847" t="s">
        <v>1978</v>
      </c>
      <c r="AH522" s="847" t="s">
        <v>985</v>
      </c>
      <c r="AI522" s="847"/>
      <c r="AJ522" s="847" t="s">
        <v>1048</v>
      </c>
      <c r="AK522" s="847" t="s">
        <v>1953</v>
      </c>
      <c r="AL522" s="851" t="s">
        <v>985</v>
      </c>
      <c r="AM522" s="846" t="s">
        <v>1136</v>
      </c>
      <c r="AN522" s="846" t="s">
        <v>1136</v>
      </c>
      <c r="AO522" s="846" t="s">
        <v>2072</v>
      </c>
      <c r="AP522" s="862" t="s">
        <v>2315</v>
      </c>
      <c r="AQ522" s="862" t="s">
        <v>2316</v>
      </c>
      <c r="AS522" s="141">
        <v>1550</v>
      </c>
      <c r="AT522" s="143"/>
      <c r="AU522" s="852">
        <v>8</v>
      </c>
      <c r="AV522" s="395"/>
      <c r="AW522" s="395">
        <f>VLOOKUP(Таблица7[[#This Row],[Основное оружие]], Оружие[#All], 2, 0)</f>
        <v>1</v>
      </c>
      <c r="AX522" s="395" t="str">
        <f>IF(ISBLANK(Таблица7[[#This Row],[Дополнительное оружие]]),"", VLOOKUP(Таблица7[[#This Row],[Дополнительное оружие]], Оружие[#All], 2, 0))</f>
        <v/>
      </c>
      <c r="AY522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22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22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22" s="395">
        <f>VLOOKUP(Таблица7[[#This Row],[Основное оружие]], Оружие[#All], 3, 0)</f>
        <v>1</v>
      </c>
      <c r="BC522" s="395" t="str">
        <f>IF(ISBLANK(Таблица7[[#This Row],[Дополнительное оружие]]),"", VLOOKUP(Таблица7[[#This Row],[Дополнительное оружие]], Оружие[#All], 3, 0))</f>
        <v/>
      </c>
      <c r="BD522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522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522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2" s="39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522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22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2" s="395">
        <f>Таблица7[[#This Row],[Броня]]+Таблица7[[#This Row],[Щит]]+Таблица7[[#This Row],[навык защиты]]</f>
        <v>23</v>
      </c>
      <c r="BK522" s="995"/>
      <c r="BL522" s="995"/>
      <c r="BM522" s="395"/>
      <c r="BN522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22" s="395">
        <v>3</v>
      </c>
      <c r="BP522" s="395">
        <v>-1</v>
      </c>
      <c r="BQ522" s="395">
        <v>-2</v>
      </c>
      <c r="BR522" s="395">
        <v>-2</v>
      </c>
      <c r="BS522" s="395">
        <v>2</v>
      </c>
      <c r="BT522" s="395">
        <v>12</v>
      </c>
      <c r="BU522" s="995" t="s">
        <v>1841</v>
      </c>
      <c r="BV522" s="995" t="s">
        <v>1844</v>
      </c>
      <c r="BW522" s="395"/>
      <c r="BX522" s="395"/>
      <c r="BY522" s="395"/>
      <c r="BZ522" s="144"/>
    </row>
    <row r="523" spans="1:78" s="141" customFormat="1" ht="40.5" customHeight="1" x14ac:dyDescent="0.25">
      <c r="A523" s="333">
        <v>501</v>
      </c>
      <c r="B523" s="846" t="s">
        <v>2284</v>
      </c>
      <c r="C523" s="846" t="s">
        <v>2291</v>
      </c>
      <c r="D523" s="847" t="s">
        <v>1556</v>
      </c>
      <c r="E523" s="847" t="s">
        <v>1547</v>
      </c>
      <c r="F523" s="847"/>
      <c r="G523" s="847"/>
      <c r="H523" s="847"/>
      <c r="I523" s="641">
        <v>1</v>
      </c>
      <c r="J523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80</v>
      </c>
      <c r="K523" s="625">
        <f>Таблица7[[#This Row],[Размер отряда минимум]]*1.25</f>
        <v>100</v>
      </c>
      <c r="L523" s="625">
        <f>Таблица7[[#This Row],[Размер отряда норма]]*1.5</f>
        <v>150</v>
      </c>
      <c r="M523" s="626">
        <f>Таблица7[[#This Row],[Размер отряда минимум]]*2.5</f>
        <v>200</v>
      </c>
      <c r="N523" s="626"/>
      <c r="O523" s="626"/>
      <c r="P523" s="626"/>
      <c r="Q523" s="626"/>
      <c r="R523" s="846" t="s">
        <v>1432</v>
      </c>
      <c r="S523" s="846" t="s">
        <v>2314</v>
      </c>
      <c r="T523" s="847" t="s">
        <v>975</v>
      </c>
      <c r="U523" s="848" t="s">
        <v>2292</v>
      </c>
      <c r="V523" s="849" t="s">
        <v>2293</v>
      </c>
      <c r="W523" s="847" t="s">
        <v>993</v>
      </c>
      <c r="X523" s="847" t="s">
        <v>996</v>
      </c>
      <c r="Y523" s="846" t="s">
        <v>1973</v>
      </c>
      <c r="Z523" s="847"/>
      <c r="AA523" s="847"/>
      <c r="AB523" s="847"/>
      <c r="AC523" s="847"/>
      <c r="AD523" s="850" t="s">
        <v>1482</v>
      </c>
      <c r="AE523" s="850" t="s">
        <v>1975</v>
      </c>
      <c r="AF523" s="847" t="s">
        <v>1481</v>
      </c>
      <c r="AG523" s="847" t="s">
        <v>1978</v>
      </c>
      <c r="AH523" s="847" t="s">
        <v>985</v>
      </c>
      <c r="AI523" s="847"/>
      <c r="AJ523" s="847" t="s">
        <v>1004</v>
      </c>
      <c r="AK523" s="846" t="s">
        <v>1952</v>
      </c>
      <c r="AL523" s="851" t="s">
        <v>985</v>
      </c>
      <c r="AM523" s="846" t="s">
        <v>1136</v>
      </c>
      <c r="AN523" s="846" t="s">
        <v>1136</v>
      </c>
      <c r="AO523" s="846" t="s">
        <v>2072</v>
      </c>
      <c r="AP523" s="862" t="s">
        <v>2315</v>
      </c>
      <c r="AQ523" s="862" t="s">
        <v>2316</v>
      </c>
      <c r="AS523" s="141">
        <v>1500</v>
      </c>
      <c r="AT523" s="143">
        <v>1550</v>
      </c>
      <c r="AU523" s="395">
        <v>8</v>
      </c>
      <c r="AV523" s="395"/>
      <c r="AW523" s="395">
        <f>VLOOKUP(Таблица7[[#This Row],[Основное оружие]], Оружие[#All], 2, 0)</f>
        <v>7</v>
      </c>
      <c r="AX523" s="395" t="str">
        <f>IF(ISBLANK(Таблица7[[#This Row],[Дополнительное оружие]]),"", VLOOKUP(Таблица7[[#This Row],[Дополнительное оружие]], Оружие[#All], 2, 0))</f>
        <v/>
      </c>
      <c r="AY523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523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523" s="85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23" s="395">
        <f>VLOOKUP(Таблица7[[#This Row],[Основное оружие]], Оружие[#All], 3, 0)</f>
        <v>3</v>
      </c>
      <c r="BC523" s="395" t="str">
        <f>IF(ISBLANK(Таблица7[[#This Row],[Дополнительное оружие]]),"", VLOOKUP(Таблица7[[#This Row],[Дополнительное оружие]], Оружие[#All], 3, 0))</f>
        <v/>
      </c>
      <c r="BD523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523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523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3" s="39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523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23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3" s="395">
        <f>Таблица7[[#This Row],[Броня]]+Таблица7[[#This Row],[Щит]]+Таблица7[[#This Row],[навык защиты]]</f>
        <v>25</v>
      </c>
      <c r="BK523" s="995"/>
      <c r="BL523" s="995"/>
      <c r="BM523" s="395"/>
      <c r="BN523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23" s="395">
        <v>3</v>
      </c>
      <c r="BP523" s="395">
        <v>0</v>
      </c>
      <c r="BQ523" s="395">
        <v>-2</v>
      </c>
      <c r="BR523" s="395">
        <v>-1</v>
      </c>
      <c r="BS523" s="395">
        <v>2</v>
      </c>
      <c r="BT523" s="395">
        <v>12</v>
      </c>
      <c r="BU523" s="995" t="s">
        <v>1841</v>
      </c>
      <c r="BV523" s="995" t="s">
        <v>1844</v>
      </c>
      <c r="BW523" s="395"/>
      <c r="BX523" s="395"/>
      <c r="BY523" s="395"/>
      <c r="BZ523" s="144"/>
    </row>
    <row r="524" spans="1:78" s="141" customFormat="1" ht="40.5" customHeight="1" x14ac:dyDescent="0.25">
      <c r="A524" s="333">
        <v>501</v>
      </c>
      <c r="B524" s="846" t="s">
        <v>2284</v>
      </c>
      <c r="C524" s="846" t="s">
        <v>2291</v>
      </c>
      <c r="D524" s="847" t="s">
        <v>1556</v>
      </c>
      <c r="E524" s="847" t="s">
        <v>1547</v>
      </c>
      <c r="F524" s="847"/>
      <c r="G524" s="847"/>
      <c r="H524" s="847"/>
      <c r="I524" s="641">
        <v>1</v>
      </c>
      <c r="J524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24" s="625">
        <f>Таблица7[[#This Row],[Размер отряда минимум]]*1.25</f>
        <v>112.5</v>
      </c>
      <c r="L524" s="625">
        <f>Таблица7[[#This Row],[Размер отряда норма]]*1.5</f>
        <v>168.75</v>
      </c>
      <c r="M524" s="626">
        <f>Таблица7[[#This Row],[Размер отряда минимум]]*2.5</f>
        <v>225</v>
      </c>
      <c r="N524" s="626"/>
      <c r="O524" s="626"/>
      <c r="P524" s="626"/>
      <c r="Q524" s="626"/>
      <c r="R524" s="846" t="s">
        <v>1432</v>
      </c>
      <c r="S524" s="846" t="s">
        <v>2314</v>
      </c>
      <c r="T524" s="847" t="s">
        <v>976</v>
      </c>
      <c r="U524" s="848" t="s">
        <v>2292</v>
      </c>
      <c r="V524" s="849" t="s">
        <v>2293</v>
      </c>
      <c r="W524" s="847" t="s">
        <v>993</v>
      </c>
      <c r="X524" s="847" t="s">
        <v>996</v>
      </c>
      <c r="Y524" s="846" t="s">
        <v>1973</v>
      </c>
      <c r="Z524" s="847"/>
      <c r="AA524" s="847"/>
      <c r="AB524" s="847"/>
      <c r="AC524" s="847"/>
      <c r="AD524" s="850" t="s">
        <v>1482</v>
      </c>
      <c r="AE524" s="850" t="s">
        <v>1975</v>
      </c>
      <c r="AF524" s="847" t="s">
        <v>1481</v>
      </c>
      <c r="AG524" s="847" t="s">
        <v>1978</v>
      </c>
      <c r="AH524" s="847" t="s">
        <v>985</v>
      </c>
      <c r="AI524" s="847"/>
      <c r="AJ524" s="847" t="s">
        <v>1048</v>
      </c>
      <c r="AK524" s="847" t="s">
        <v>1953</v>
      </c>
      <c r="AL524" s="851" t="s">
        <v>985</v>
      </c>
      <c r="AM524" s="846" t="s">
        <v>1136</v>
      </c>
      <c r="AN524" s="846" t="s">
        <v>1136</v>
      </c>
      <c r="AO524" s="846" t="s">
        <v>2072</v>
      </c>
      <c r="AP524" s="862" t="s">
        <v>2315</v>
      </c>
      <c r="AQ524" s="862" t="s">
        <v>2316</v>
      </c>
      <c r="AS524" s="141">
        <v>1550</v>
      </c>
      <c r="AT524" s="143"/>
      <c r="AU524" s="395">
        <v>8</v>
      </c>
      <c r="AV524" s="395"/>
      <c r="AW524" s="395">
        <f>VLOOKUP(Таблица7[[#This Row],[Основное оружие]], Оружие[#All], 2, 0)</f>
        <v>7</v>
      </c>
      <c r="AX524" s="395" t="str">
        <f>IF(ISBLANK(Таблица7[[#This Row],[Дополнительное оружие]]),"", VLOOKUP(Таблица7[[#This Row],[Дополнительное оружие]], Оружие[#All], 2, 0))</f>
        <v/>
      </c>
      <c r="AY524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524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14</v>
      </c>
      <c r="BA524" s="85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24" s="395">
        <f>VLOOKUP(Таблица7[[#This Row],[Основное оружие]], Оружие[#All], 3, 0)</f>
        <v>3</v>
      </c>
      <c r="BC524" s="395" t="str">
        <f>IF(ISBLANK(Таблица7[[#This Row],[Дополнительное оружие]]),"", VLOOKUP(Таблица7[[#This Row],[Дополнительное оружие]], Оружие[#All], 3, 0))</f>
        <v/>
      </c>
      <c r="BD524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524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524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4" s="39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524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24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4" s="395">
        <f>Таблица7[[#This Row],[Броня]]+Таблица7[[#This Row],[Щит]]+Таблица7[[#This Row],[навык защиты]]</f>
        <v>25</v>
      </c>
      <c r="BK524" s="995"/>
      <c r="BL524" s="995"/>
      <c r="BM524" s="395"/>
      <c r="BN524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24" s="395">
        <v>3</v>
      </c>
      <c r="BP524" s="395">
        <v>0</v>
      </c>
      <c r="BQ524" s="395">
        <v>-2</v>
      </c>
      <c r="BR524" s="395">
        <v>-1</v>
      </c>
      <c r="BS524" s="395">
        <v>2</v>
      </c>
      <c r="BT524" s="395">
        <v>12</v>
      </c>
      <c r="BU524" s="995" t="s">
        <v>1841</v>
      </c>
      <c r="BV524" s="995" t="s">
        <v>1844</v>
      </c>
      <c r="BW524" s="395"/>
      <c r="BX524" s="395"/>
      <c r="BY524" s="395"/>
      <c r="BZ524" s="144"/>
    </row>
    <row r="525" spans="1:78" s="141" customFormat="1" ht="40.5" customHeight="1" x14ac:dyDescent="0.25">
      <c r="A525" s="333">
        <v>501</v>
      </c>
      <c r="B525" s="845" t="s">
        <v>1714</v>
      </c>
      <c r="C525" s="846" t="s">
        <v>2295</v>
      </c>
      <c r="D525" s="847" t="s">
        <v>1556</v>
      </c>
      <c r="E525" s="847" t="s">
        <v>1561</v>
      </c>
      <c r="F525" s="847"/>
      <c r="G525" s="847"/>
      <c r="H525" s="847"/>
      <c r="I525" s="641">
        <v>1</v>
      </c>
      <c r="J525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90</v>
      </c>
      <c r="K525" s="625">
        <f>Таблица7[[#This Row],[Размер отряда минимум]]*1.25</f>
        <v>112.5</v>
      </c>
      <c r="L525" s="625">
        <f>Таблица7[[#This Row],[Размер отряда норма]]*1.5</f>
        <v>168.75</v>
      </c>
      <c r="M525" s="626">
        <f>Таблица7[[#This Row],[Размер отряда минимум]]*2.5</f>
        <v>225</v>
      </c>
      <c r="N525" s="626"/>
      <c r="O525" s="626"/>
      <c r="P525" s="626"/>
      <c r="Q525" s="626"/>
      <c r="R525" s="846" t="s">
        <v>1432</v>
      </c>
      <c r="S525" s="846" t="s">
        <v>2314</v>
      </c>
      <c r="T525" s="847" t="s">
        <v>975</v>
      </c>
      <c r="U525" s="848" t="s">
        <v>1740</v>
      </c>
      <c r="V525" s="849" t="s">
        <v>2296</v>
      </c>
      <c r="W525" s="847" t="s">
        <v>993</v>
      </c>
      <c r="X525" s="847" t="s">
        <v>994</v>
      </c>
      <c r="Y525" s="846" t="s">
        <v>1932</v>
      </c>
      <c r="Z525" s="847"/>
      <c r="AA525" s="846"/>
      <c r="AB525" s="847"/>
      <c r="AC525" s="847"/>
      <c r="AD525" s="850" t="s">
        <v>1158</v>
      </c>
      <c r="AE525" s="850" t="s">
        <v>1962</v>
      </c>
      <c r="AF525" s="847" t="s">
        <v>1211</v>
      </c>
      <c r="AG525" s="847" t="s">
        <v>1963</v>
      </c>
      <c r="AH525" s="847" t="s">
        <v>985</v>
      </c>
      <c r="AI525" s="847"/>
      <c r="AJ525" s="850" t="s">
        <v>985</v>
      </c>
      <c r="AK525" s="850"/>
      <c r="AL525" s="851" t="s">
        <v>985</v>
      </c>
      <c r="AM525" s="846" t="s">
        <v>1136</v>
      </c>
      <c r="AN525" s="846" t="s">
        <v>1136</v>
      </c>
      <c r="AO525" s="846" t="s">
        <v>2072</v>
      </c>
      <c r="AP525" s="862" t="s">
        <v>2315</v>
      </c>
      <c r="AQ525" s="862" t="s">
        <v>2316</v>
      </c>
      <c r="AS525" s="141">
        <v>1500</v>
      </c>
      <c r="AT525" s="143">
        <v>1550</v>
      </c>
      <c r="AU525" s="852">
        <v>7</v>
      </c>
      <c r="AV525" s="395"/>
      <c r="AW525" s="395">
        <f>VLOOKUP(Таблица7[[#This Row],[Основное оружие]], Оружие[#All], 2, 0)</f>
        <v>1</v>
      </c>
      <c r="AX525" s="395" t="str">
        <f>IF(ISBLANK(Таблица7[[#This Row],[Дополнительное оружие]]),"", VLOOKUP(Таблица7[[#This Row],[Дополнительное оружие]], Оружие[#All], 2, 0))</f>
        <v/>
      </c>
      <c r="AY525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25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25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25" s="395">
        <f>VLOOKUP(Таблица7[[#This Row],[Основное оружие]], Оружие[#All], 3, 0)</f>
        <v>1</v>
      </c>
      <c r="BC525" s="395" t="str">
        <f>IF(ISBLANK(Таблица7[[#This Row],[Дополнительное оружие]]),"", VLOOKUP(Таблица7[[#This Row],[Дополнительное оружие]], Оружие[#All], 3, 0))</f>
        <v/>
      </c>
      <c r="BD525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25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25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5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25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25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5" s="395">
        <f>Таблица7[[#This Row],[Броня]]+Таблица7[[#This Row],[Щит]]+Таблица7[[#This Row],[навык защиты]]</f>
        <v>18</v>
      </c>
      <c r="BK525" s="995"/>
      <c r="BL525" s="995"/>
      <c r="BM525" s="395"/>
      <c r="BN525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25" s="395">
        <v>3</v>
      </c>
      <c r="BP525" s="395">
        <v>-1</v>
      </c>
      <c r="BQ525" s="395">
        <v>-2</v>
      </c>
      <c r="BR525" s="395">
        <v>-2</v>
      </c>
      <c r="BS525" s="395">
        <v>2</v>
      </c>
      <c r="BT525" s="395">
        <v>12</v>
      </c>
      <c r="BU525" s="995" t="s">
        <v>1841</v>
      </c>
      <c r="BV525" s="995" t="s">
        <v>1844</v>
      </c>
      <c r="BW525" s="395"/>
      <c r="BX525" s="395"/>
      <c r="BY525" s="395"/>
      <c r="BZ525" s="144"/>
    </row>
    <row r="526" spans="1:78" s="141" customFormat="1" ht="40.5" customHeight="1" x14ac:dyDescent="0.25">
      <c r="A526" s="333">
        <v>501</v>
      </c>
      <c r="B526" s="845" t="s">
        <v>1714</v>
      </c>
      <c r="C526" s="846" t="s">
        <v>2295</v>
      </c>
      <c r="D526" s="847" t="s">
        <v>1556</v>
      </c>
      <c r="E526" s="847" t="s">
        <v>1561</v>
      </c>
      <c r="F526" s="847"/>
      <c r="G526" s="847"/>
      <c r="H526" s="847"/>
      <c r="I526" s="641">
        <v>1</v>
      </c>
      <c r="J526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100</v>
      </c>
      <c r="K526" s="625">
        <f>Таблица7[[#This Row],[Размер отряда минимум]]*1.25</f>
        <v>125</v>
      </c>
      <c r="L526" s="625">
        <f>Таблица7[[#This Row],[Размер отряда норма]]*1.5</f>
        <v>187.5</v>
      </c>
      <c r="M526" s="626">
        <f>Таблица7[[#This Row],[Размер отряда минимум]]*2.5</f>
        <v>250</v>
      </c>
      <c r="N526" s="626"/>
      <c r="O526" s="626"/>
      <c r="P526" s="626"/>
      <c r="Q526" s="626"/>
      <c r="R526" s="846" t="s">
        <v>1432</v>
      </c>
      <c r="S526" s="846" t="s">
        <v>2314</v>
      </c>
      <c r="T526" s="847" t="s">
        <v>976</v>
      </c>
      <c r="U526" s="848" t="s">
        <v>1740</v>
      </c>
      <c r="V526" s="849" t="s">
        <v>2296</v>
      </c>
      <c r="W526" s="847" t="s">
        <v>993</v>
      </c>
      <c r="X526" s="847" t="s">
        <v>994</v>
      </c>
      <c r="Y526" s="846" t="s">
        <v>1932</v>
      </c>
      <c r="Z526" s="847"/>
      <c r="AA526" s="846"/>
      <c r="AB526" s="847"/>
      <c r="AC526" s="847"/>
      <c r="AD526" s="850" t="s">
        <v>1158</v>
      </c>
      <c r="AE526" s="850" t="s">
        <v>1962</v>
      </c>
      <c r="AF526" s="847" t="s">
        <v>1211</v>
      </c>
      <c r="AG526" s="847" t="s">
        <v>1963</v>
      </c>
      <c r="AH526" s="847" t="s">
        <v>985</v>
      </c>
      <c r="AI526" s="847"/>
      <c r="AJ526" s="850" t="s">
        <v>985</v>
      </c>
      <c r="AK526" s="850"/>
      <c r="AL526" s="851" t="s">
        <v>985</v>
      </c>
      <c r="AM526" s="846" t="s">
        <v>1136</v>
      </c>
      <c r="AN526" s="846" t="s">
        <v>1136</v>
      </c>
      <c r="AO526" s="846" t="s">
        <v>2072</v>
      </c>
      <c r="AP526" s="862" t="s">
        <v>2315</v>
      </c>
      <c r="AQ526" s="862" t="s">
        <v>2316</v>
      </c>
      <c r="AS526" s="141">
        <v>1550</v>
      </c>
      <c r="AT526" s="143"/>
      <c r="AU526" s="852">
        <v>7</v>
      </c>
      <c r="AV526" s="395"/>
      <c r="AW526" s="395">
        <f>VLOOKUP(Таблица7[[#This Row],[Основное оружие]], Оружие[#All], 2, 0)</f>
        <v>1</v>
      </c>
      <c r="AX526" s="395" t="str">
        <f>IF(ISBLANK(Таблица7[[#This Row],[Дополнительное оружие]]),"", VLOOKUP(Таблица7[[#This Row],[Дополнительное оружие]], Оружие[#All], 2, 0))</f>
        <v/>
      </c>
      <c r="AY526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5</v>
      </c>
      <c r="AZ526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6</v>
      </c>
      <c r="BA526" s="85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26" s="395">
        <f>VLOOKUP(Таблица7[[#This Row],[Основное оружие]], Оружие[#All], 3, 0)</f>
        <v>1</v>
      </c>
      <c r="BC526" s="395" t="str">
        <f>IF(ISBLANK(Таблица7[[#This Row],[Дополнительное оружие]]),"", VLOOKUP(Таблица7[[#This Row],[Дополнительное оружие]], Оружие[#All], 3, 0))</f>
        <v/>
      </c>
      <c r="BD526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13</v>
      </c>
      <c r="BE526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15</v>
      </c>
      <c r="BF526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6" s="395" t="str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нет</v>
      </c>
      <c r="BH526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5</v>
      </c>
      <c r="BI526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6" s="395">
        <f>Таблица7[[#This Row],[Броня]]+Таблица7[[#This Row],[Щит]]+Таблица7[[#This Row],[навык защиты]]</f>
        <v>18</v>
      </c>
      <c r="BK526" s="995"/>
      <c r="BL526" s="995"/>
      <c r="BM526" s="395"/>
      <c r="BN526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hardy</v>
      </c>
      <c r="BO526" s="395">
        <v>3</v>
      </c>
      <c r="BP526" s="395">
        <v>-1</v>
      </c>
      <c r="BQ526" s="395">
        <v>-2</v>
      </c>
      <c r="BR526" s="395">
        <v>-2</v>
      </c>
      <c r="BS526" s="395">
        <v>2</v>
      </c>
      <c r="BT526" s="395">
        <v>12</v>
      </c>
      <c r="BU526" s="995" t="s">
        <v>1841</v>
      </c>
      <c r="BV526" s="995" t="s">
        <v>1844</v>
      </c>
      <c r="BW526" s="395"/>
      <c r="BX526" s="395"/>
      <c r="BY526" s="395"/>
      <c r="BZ526" s="144"/>
    </row>
    <row r="527" spans="1:78" s="141" customFormat="1" ht="40.5" customHeight="1" x14ac:dyDescent="0.25">
      <c r="A527" s="333">
        <v>501</v>
      </c>
      <c r="B527" s="671" t="s">
        <v>1744</v>
      </c>
      <c r="C527" s="846" t="s">
        <v>2297</v>
      </c>
      <c r="D527" s="847" t="s">
        <v>1556</v>
      </c>
      <c r="E527" s="847" t="s">
        <v>1547</v>
      </c>
      <c r="F527" s="847"/>
      <c r="G527" s="847"/>
      <c r="H527" s="847"/>
      <c r="I527" s="641">
        <v>0.3</v>
      </c>
      <c r="J527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24</v>
      </c>
      <c r="K527" s="625">
        <f>Таблица7[[#This Row],[Размер отряда минимум]]*1.25</f>
        <v>30</v>
      </c>
      <c r="L527" s="625">
        <f>Таблица7[[#This Row],[Размер отряда норма]]*1.5</f>
        <v>45</v>
      </c>
      <c r="M527" s="626">
        <f>Таблица7[[#This Row],[Размер отряда минимум]]*2.5</f>
        <v>60</v>
      </c>
      <c r="N527" s="626"/>
      <c r="O527" s="626"/>
      <c r="P527" s="626"/>
      <c r="Q527" s="626"/>
      <c r="R527" s="846" t="s">
        <v>1432</v>
      </c>
      <c r="S527" s="846" t="s">
        <v>2314</v>
      </c>
      <c r="T527" s="847" t="s">
        <v>975</v>
      </c>
      <c r="U527" s="848" t="s">
        <v>1743</v>
      </c>
      <c r="V527" s="849" t="s">
        <v>2298</v>
      </c>
      <c r="W527" s="847" t="s">
        <v>1001</v>
      </c>
      <c r="X527" s="855" t="s">
        <v>987</v>
      </c>
      <c r="Y527" s="855" t="s">
        <v>1925</v>
      </c>
      <c r="Z527" s="856"/>
      <c r="AA527" s="856"/>
      <c r="AB527" s="856"/>
      <c r="AC527" s="856"/>
      <c r="AD527" s="850" t="s">
        <v>1482</v>
      </c>
      <c r="AE527" s="850" t="s">
        <v>1975</v>
      </c>
      <c r="AF527" s="847" t="s">
        <v>1481</v>
      </c>
      <c r="AG527" s="847" t="s">
        <v>1978</v>
      </c>
      <c r="AH527" s="847" t="s">
        <v>985</v>
      </c>
      <c r="AI527" s="847"/>
      <c r="AJ527" s="847" t="s">
        <v>1004</v>
      </c>
      <c r="AK527" s="846" t="s">
        <v>1952</v>
      </c>
      <c r="AL527" s="851" t="s">
        <v>985</v>
      </c>
      <c r="AM527" s="846" t="s">
        <v>1136</v>
      </c>
      <c r="AN527" s="846" t="s">
        <v>1136</v>
      </c>
      <c r="AO527" s="846" t="s">
        <v>2072</v>
      </c>
      <c r="AP527" s="862" t="s">
        <v>2315</v>
      </c>
      <c r="AQ527" s="862" t="s">
        <v>2316</v>
      </c>
      <c r="AS527" s="141">
        <v>1500</v>
      </c>
      <c r="AT527" s="143">
        <v>1550</v>
      </c>
      <c r="AU527" s="395">
        <v>8</v>
      </c>
      <c r="AV527" s="395"/>
      <c r="AW527" s="395">
        <f>VLOOKUP(Таблица7[[#This Row],[Основное оружие]], Оружие[#All], 2, 0)</f>
        <v>8</v>
      </c>
      <c r="AX527" s="395" t="str">
        <f>IF(ISBLANK(Таблица7[[#This Row],[Дополнительное оружие]]),"", VLOOKUP(Таблица7[[#This Row],[Дополнительное оружие]], Оружие[#All], 2, 0))</f>
        <v/>
      </c>
      <c r="AY527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527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527" s="85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27" s="395">
        <f>VLOOKUP(Таблица7[[#This Row],[Основное оружие]], Оружие[#All], 3, 0)</f>
        <v>8</v>
      </c>
      <c r="BC527" s="395" t="str">
        <f>IF(ISBLANK(Таблица7[[#This Row],[Дополнительное оружие]]),"", VLOOKUP(Таблица7[[#This Row],[Дополнительное оружие]], Оружие[#All], 3, 0))</f>
        <v/>
      </c>
      <c r="BD527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527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527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7" s="39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22</v>
      </c>
      <c r="BH527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27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7" s="395">
        <f>Таблица7[[#This Row],[Броня]]+Таблица7[[#This Row],[Щит]]+Таблица7[[#This Row],[навык защиты]]</f>
        <v>25</v>
      </c>
      <c r="BK527" s="995"/>
      <c r="BL527" s="995"/>
      <c r="BM527" s="395"/>
      <c r="BN527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27" s="395">
        <v>3</v>
      </c>
      <c r="BP527" s="395">
        <v>0</v>
      </c>
      <c r="BQ527" s="395">
        <v>-2</v>
      </c>
      <c r="BR527" s="395">
        <v>0</v>
      </c>
      <c r="BS527" s="395">
        <v>2</v>
      </c>
      <c r="BT527" s="395">
        <v>12</v>
      </c>
      <c r="BU527" s="995" t="s">
        <v>1841</v>
      </c>
      <c r="BV527" s="995" t="s">
        <v>1844</v>
      </c>
      <c r="BW527" s="395"/>
      <c r="BX527" s="395"/>
      <c r="BY527" s="395"/>
      <c r="BZ527" s="144"/>
    </row>
    <row r="528" spans="1:78" s="141" customFormat="1" ht="40.5" customHeight="1" x14ac:dyDescent="0.25">
      <c r="A528" s="333">
        <v>501</v>
      </c>
      <c r="B528" s="671" t="s">
        <v>1744</v>
      </c>
      <c r="C528" s="846" t="s">
        <v>2297</v>
      </c>
      <c r="D528" s="847" t="s">
        <v>1556</v>
      </c>
      <c r="E528" s="847" t="s">
        <v>1547</v>
      </c>
      <c r="F528" s="847"/>
      <c r="G528" s="847"/>
      <c r="H528" s="847"/>
      <c r="I528" s="641">
        <v>0.3</v>
      </c>
      <c r="J528" s="625">
        <f>IF(Таблица7[[#This Row],[category]]="Пехота", VLOOKUP(Таблица7[[#This Row],[class]], Базовая_численность_пехота[#All], IF(Таблица7[[#This Row],[Эпоха]]="1 половина", 2, 3), 0), VLOOKUP(Таблица7[[#This Row],[class]], Базовая_численность_кавалерия[#All], IF(Таблица7[[#This Row],[Эпоха]]="1 половина", 2, 3), 0))*Таблица7[[#This Row],[% от базовой численности]]</f>
        <v>27</v>
      </c>
      <c r="K528" s="625">
        <f>Таблица7[[#This Row],[Размер отряда минимум]]*1.25</f>
        <v>33.75</v>
      </c>
      <c r="L528" s="625">
        <f>Таблица7[[#This Row],[Размер отряда норма]]*1.5</f>
        <v>50.625</v>
      </c>
      <c r="M528" s="626">
        <f>Таблица7[[#This Row],[Размер отряда минимум]]*2.5</f>
        <v>67.5</v>
      </c>
      <c r="N528" s="626"/>
      <c r="O528" s="626"/>
      <c r="P528" s="626"/>
      <c r="Q528" s="626"/>
      <c r="R528" s="846" t="s">
        <v>1432</v>
      </c>
      <c r="S528" s="846" t="s">
        <v>2314</v>
      </c>
      <c r="T528" s="847" t="s">
        <v>976</v>
      </c>
      <c r="U528" s="752" t="s">
        <v>1743</v>
      </c>
      <c r="V528" s="849" t="s">
        <v>2298</v>
      </c>
      <c r="W528" s="850" t="s">
        <v>1001</v>
      </c>
      <c r="X528" s="855" t="s">
        <v>987</v>
      </c>
      <c r="Y528" s="855" t="s">
        <v>1925</v>
      </c>
      <c r="Z528" s="856"/>
      <c r="AA528" s="856"/>
      <c r="AB528" s="856"/>
      <c r="AC528" s="856"/>
      <c r="AD528" s="850" t="s">
        <v>1482</v>
      </c>
      <c r="AE528" s="850" t="s">
        <v>1975</v>
      </c>
      <c r="AF528" s="847" t="s">
        <v>1481</v>
      </c>
      <c r="AG528" s="847" t="s">
        <v>1978</v>
      </c>
      <c r="AH528" s="847" t="s">
        <v>985</v>
      </c>
      <c r="AI528" s="847"/>
      <c r="AJ528" s="847" t="s">
        <v>1048</v>
      </c>
      <c r="AK528" s="847" t="s">
        <v>1953</v>
      </c>
      <c r="AL528" s="851" t="s">
        <v>985</v>
      </c>
      <c r="AM528" s="846" t="s">
        <v>1136</v>
      </c>
      <c r="AN528" s="846" t="s">
        <v>1136</v>
      </c>
      <c r="AO528" s="846" t="s">
        <v>2072</v>
      </c>
      <c r="AP528" s="862" t="s">
        <v>2315</v>
      </c>
      <c r="AQ528" s="862" t="s">
        <v>2316</v>
      </c>
      <c r="AS528" s="141">
        <v>1550</v>
      </c>
      <c r="AT528" s="143"/>
      <c r="AU528" s="395">
        <v>8</v>
      </c>
      <c r="AV528" s="395"/>
      <c r="AW528" s="395">
        <f>VLOOKUP(Таблица7[[#This Row],[Основное оружие]], Оружие[#All], 2, 0)</f>
        <v>8</v>
      </c>
      <c r="AX528" s="395" t="str">
        <f>IF(ISBLANK(Таблица7[[#This Row],[Дополнительное оружие]]),"", VLOOKUP(Таблица7[[#This Row],[Дополнительное оружие]], Оружие[#All], 2, 0))</f>
        <v/>
      </c>
      <c r="AY528" s="395">
        <f>Таблица7[[#This Row],[Уровень тренированности в ближнем бою(как индивидуальный, так и командный)]]+VLOOKUP(Таблица7[[#This Row],[Основное оружие]], Оружие[#All], 6, 0)+VLOOKUP(Таблица7[[#This Row],[class]], БонусМалус[#All], 2, 0)</f>
        <v>7</v>
      </c>
      <c r="AZ528" s="395">
        <f>Таблица7[[#This Row],[Мощь основного оружия(урон, длина, сложность владения и тд)]]+Таблица7[[#This Row],[Навык атаки]]-IF(ISNONTEXT(Таблица7[[#This Row],[Меткость]]), 0, Таблица7[[#This Row],[Навык атаки]])</f>
        <v>15</v>
      </c>
      <c r="BA528" s="854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28" s="395">
        <f>VLOOKUP(Таблица7[[#This Row],[Основное оружие]], Оружие[#All], 3, 0)</f>
        <v>8</v>
      </c>
      <c r="BC528" s="395" t="str">
        <f>IF(ISBLANK(Таблица7[[#This Row],[Дополнительное оружие]]),"", VLOOKUP(Таблица7[[#This Row],[Дополнительное оружие]], Оружие[#All], 3, 0))</f>
        <v/>
      </c>
      <c r="BD528" s="395">
        <f>VLOOKUP(Таблица7[[#This Row],[доспехи]], Броня[#All], 2, 0)+IF(Таблица7[[#This Row],[Доспех коня]]="да", VLOOKUP(Tables!$B$56,Броня[#All], 2, 0), 0)+IF(AND(Таблица7[[#This Row],[category]]="Конница", Таблица7[[#This Row],[доспехи]]&lt;&gt;"нет"), VLOOKUP(Таблица7[[#This Row],[category]], БонусМалус[#All], 2, 0), 0)</f>
        <v>18</v>
      </c>
      <c r="BE528" s="395">
        <f>IF(Таблица7[[#This Row],[апгрейд 1]]="нет", "нет", VLOOKUP(Таблица7[[#This Row],[апгрейд 1]], Броня[#All], 2, 0)+IF(Таблица7[[#This Row],[Доспех коня]]="да", VLOOKUP(Tables!$B$56,Броня[#All], 2, 0), 0)+IF(AND(Таблица7[[#This Row],[category]]="Конница", Таблица7[[#This Row],[апгрейд 1]]&lt;&gt;"нет"), VLOOKUP(Таблица7[[#This Row],[category]], БонусМалус[#All], 2, 0), 0))</f>
        <v>19</v>
      </c>
      <c r="BF528" s="395" t="str">
        <f>IF(Таблица7[[#This Row],[апгрейд 2]]="нет", "нет", VLOOKUP(Таблица7[[#This Row],[апгрейд 2]], Броня[#All], 2, 0)+IF(Таблица7[[#This Row],[Доспех коня]]="да", VLOOKUP(Tables!$B$56,Броня[#All], 2, 0), 0)+IF(AND(Таблица7[[#This Row],[category]]="Конница", Таблица7[[#This Row],[апгрейд 2]]&lt;&gt;"нет"), VLOOKUP(Таблица7[[#This Row],[category]], БонусМалус[#All], 2, 0), 0))</f>
        <v>нет</v>
      </c>
      <c r="BG528" s="395">
        <f>IF(Таблица7[[#This Row],[апгрейд 3]]="нет", "нет", VLOOKUP(Таблица7[[#This Row],[апгрейд 3]], Броня[#All], 2, 0)+IF(Таблица7[[#This Row],[Доспех коня]]="да", VLOOKUP(Tables!$B$56,Броня[#All], 2, 0), 0)+IF(AND(Таблица7[[#This Row],[category]]="Конница", Таблица7[[#This Row],[апгрейд 3]]&lt;&gt;"нет"), VLOOKUP(Таблица7[[#This Row],[category]], БонусМалус[#All], 2, 0), 0))</f>
        <v>20</v>
      </c>
      <c r="BH528" s="395">
        <f>Таблица7[[#This Row],[Уровень тренированности в ближнем бою(как индивидуальный, так и командный)]]+IF(Таблица7[[#This Row],[category]]="Конница", VLOOKUP(Таблица7[[#This Row],[category]], БонусМалус[#All], 2, 0), 0)+VLOOKUP(Таблица7[[#This Row],[Основное оружие]], Оружие[#All], 7, 0)+VLOOKUP(Таблица7[[#This Row],[class]], БонусМалус2[#All], 2, 0)</f>
        <v>7</v>
      </c>
      <c r="BI528" s="395">
        <f>IF(ISBLANK(Таблица7[[#This Row],[Щит.]]), 0, VLOOKUP(Таблица7[[#This Row],[Щит.]],Щит[#All],2,0))+IF(AND(Таблица7[[#This Row],[category]]="Конница", Таблица7[[#This Row],[Щит.]]&lt;&gt;"нет", NOT(ISBLANK(Таблица7[[#This Row],[Щит.]]))), VLOOKUP(Таблица7[[#This Row],[category]], БонусМалус[#All], 2, 0), 0)</f>
        <v>0</v>
      </c>
      <c r="BJ528" s="395">
        <f>Таблица7[[#This Row],[Броня]]+Таблица7[[#This Row],[Щит]]+Таблица7[[#This Row],[навык защиты]]</f>
        <v>25</v>
      </c>
      <c r="BK528" s="995"/>
      <c r="BL528" s="995"/>
      <c r="BM528" s="395"/>
      <c r="BN528" s="995" t="str">
        <f>INDEX(Tables!$AD$5:$AG$14, Таблица7[[#This Row],[Уровень тренированности в ближнем бою(как индивидуальный, так и командный)]], IF(OR(Таблица7[[#This Row],[class]]=Tables!$Y$20, Таблица7[[#This Row],[class]]=Tables!$Y$21, Таблица7[[#This Row],[class]]=Tables!$Y$25,Таблица7[[#This Row],[class]]=Tables!$Y$28), 2, IF(OR(Таблица7[[#This Row],[class]]=Tables!$Y$22, Таблица7[[#This Row],[class]]=Tables!$Y$23, Таблица7[[#This Row],[class]]=Tables!$Y$26, Таблица7[[#This Row],[class]]=Tables!$Y$29), 3, 4)))</f>
        <v>normal</v>
      </c>
      <c r="BO528" s="395">
        <v>3</v>
      </c>
      <c r="BP528" s="395">
        <v>0</v>
      </c>
      <c r="BQ528" s="395">
        <v>-2</v>
      </c>
      <c r="BR528" s="395">
        <v>0</v>
      </c>
      <c r="BS528" s="395">
        <v>2</v>
      </c>
      <c r="BT528" s="395">
        <v>12</v>
      </c>
      <c r="BU528" s="995" t="s">
        <v>1841</v>
      </c>
      <c r="BV528" s="995" t="s">
        <v>1844</v>
      </c>
      <c r="BW528" s="395"/>
      <c r="BX528" s="395"/>
      <c r="BY528" s="395"/>
      <c r="BZ528" s="144"/>
    </row>
    <row r="529" spans="1:85" x14ac:dyDescent="0.25">
      <c r="E529" s="28"/>
      <c r="F529" s="28"/>
      <c r="G529" s="28"/>
      <c r="H529" s="28"/>
      <c r="I529" s="666"/>
      <c r="J529" s="636"/>
      <c r="K529" s="636"/>
      <c r="L529" s="636"/>
      <c r="M529" s="635"/>
      <c r="N529" s="635"/>
      <c r="O529" s="635"/>
      <c r="P529" s="635"/>
      <c r="Q529" s="635"/>
      <c r="U529" s="194"/>
      <c r="V529" s="157"/>
      <c r="X529" s="28"/>
      <c r="Y529" s="28"/>
      <c r="AD529" s="194"/>
      <c r="AE529" s="194"/>
      <c r="AG529" s="28"/>
      <c r="AH529" s="28"/>
      <c r="AJ529" s="194"/>
      <c r="AK529" s="194"/>
      <c r="AL529" s="211"/>
      <c r="AM529" s="28"/>
      <c r="AN529" s="28"/>
      <c r="AO529" s="28"/>
      <c r="AT529" s="157"/>
      <c r="AU529" s="402"/>
      <c r="AV529" s="402"/>
      <c r="AW529" s="405"/>
      <c r="AX529" s="405"/>
      <c r="AY529" s="405"/>
      <c r="AZ529" s="405"/>
      <c r="BA529" s="703"/>
      <c r="BB529" s="405"/>
      <c r="BC529" s="405"/>
      <c r="BD529" s="405"/>
      <c r="BI529" s="405"/>
      <c r="BK529" s="1006"/>
      <c r="BL529" s="1006"/>
      <c r="BN529" s="1006"/>
      <c r="BO529" s="402"/>
      <c r="BP529" s="402"/>
      <c r="BQ529" s="402"/>
      <c r="BR529" s="402"/>
      <c r="BS529" s="402"/>
      <c r="BT529" s="402"/>
      <c r="BU529" s="1015"/>
      <c r="BV529" s="1015"/>
      <c r="BZ529" s="28"/>
      <c r="CA529" s="28"/>
      <c r="CB529" s="28"/>
      <c r="CC529" s="28"/>
      <c r="CD529" s="28"/>
      <c r="CE529" s="28"/>
      <c r="CF529" s="28"/>
      <c r="CG529" s="28"/>
    </row>
    <row r="530" spans="1:85" x14ac:dyDescent="0.25">
      <c r="E530" s="28"/>
      <c r="F530" s="28"/>
      <c r="G530" s="28"/>
      <c r="H530" s="28"/>
      <c r="I530" s="666"/>
      <c r="J530" s="636"/>
      <c r="K530" s="636"/>
      <c r="L530" s="636"/>
      <c r="M530" s="635"/>
      <c r="N530" s="635"/>
      <c r="O530" s="635"/>
      <c r="P530" s="635"/>
      <c r="Q530" s="635"/>
      <c r="U530" s="194"/>
      <c r="V530" s="157"/>
      <c r="X530" s="28"/>
      <c r="Y530" s="28"/>
      <c r="AD530" s="194"/>
      <c r="AE530" s="194"/>
      <c r="AG530" s="28"/>
      <c r="AH530" s="28"/>
      <c r="AJ530" s="194"/>
      <c r="AK530" s="194"/>
      <c r="AL530" s="211"/>
      <c r="AM530" s="28"/>
      <c r="AN530" s="28"/>
      <c r="AO530" s="28"/>
      <c r="AT530" s="157"/>
      <c r="AU530" s="402"/>
      <c r="AV530" s="402"/>
      <c r="AW530" s="405"/>
      <c r="AX530" s="405"/>
      <c r="AY530" s="405"/>
      <c r="AZ530" s="405"/>
      <c r="BA530" s="703"/>
      <c r="BB530" s="405"/>
      <c r="BC530" s="405"/>
      <c r="BD530" s="405"/>
      <c r="BI530" s="405"/>
      <c r="BK530" s="1006"/>
      <c r="BL530" s="1006"/>
      <c r="BN530" s="1006"/>
      <c r="BO530" s="402"/>
      <c r="BP530" s="402"/>
      <c r="BQ530" s="402"/>
      <c r="BR530" s="402"/>
      <c r="BS530" s="402"/>
      <c r="BT530" s="402"/>
      <c r="BU530" s="1015"/>
      <c r="BV530" s="1015"/>
      <c r="BZ530" s="28"/>
      <c r="CA530" s="28"/>
      <c r="CB530" s="28"/>
      <c r="CC530" s="28"/>
      <c r="CD530" s="28"/>
      <c r="CE530" s="28"/>
      <c r="CF530" s="28"/>
      <c r="CG530" s="28"/>
    </row>
    <row r="531" spans="1:85" ht="30.75" customHeight="1" x14ac:dyDescent="0.25">
      <c r="A531" s="333"/>
      <c r="B531" s="551"/>
      <c r="C531" s="551"/>
      <c r="D531" s="339"/>
      <c r="E531" s="486"/>
      <c r="F531" s="486"/>
      <c r="G531" s="486"/>
      <c r="H531" s="486"/>
      <c r="I531" s="663"/>
      <c r="J531" s="631"/>
      <c r="K531" s="631"/>
      <c r="L531" s="631"/>
      <c r="M531" s="631"/>
      <c r="N531" s="631"/>
      <c r="O531" s="631"/>
      <c r="P531" s="631"/>
      <c r="Q531" s="631"/>
      <c r="R531" s="193"/>
      <c r="S531" s="193"/>
      <c r="T531" s="488"/>
      <c r="U531" s="339"/>
      <c r="V531" s="154"/>
      <c r="W531" s="488"/>
      <c r="X531" s="339"/>
      <c r="Y531" s="339"/>
      <c r="Z531" s="339"/>
      <c r="AA531" s="339"/>
      <c r="AB531" s="339"/>
      <c r="AC531" s="339"/>
      <c r="AD531" s="339"/>
      <c r="AE531" s="339"/>
      <c r="AF531" s="328"/>
      <c r="AG531" s="328"/>
      <c r="AH531" s="328"/>
      <c r="AI531" s="328"/>
      <c r="AJ531" s="193"/>
      <c r="AK531" s="193"/>
      <c r="AL531" s="210"/>
      <c r="AM531" s="193"/>
      <c r="AN531" s="193"/>
      <c r="AO531" s="193"/>
      <c r="AP531" s="539"/>
      <c r="AQ531" s="539"/>
      <c r="AR531" s="339"/>
      <c r="AS531" s="151"/>
      <c r="AT531" s="154"/>
      <c r="AU531" s="406"/>
      <c r="AV531" s="406"/>
      <c r="AW531" s="405"/>
      <c r="AX531" s="405"/>
      <c r="AY531" s="405"/>
      <c r="AZ531" s="405"/>
      <c r="BA531" s="703" t="str">
        <f xml:space="preserve"> IF(Таблица7[[#This Row],[Мощь дополнительного оружия(урон, длина, сложность владения и тд)]]="", "", IF(Таблица7[[#This Row],[Дополнительное оружие]]="пика№2", Таблица7[[#This Row],[Атака основного оружия]]*Таблица7[[#This Row],[Мощь дополнительного оружия(урон, длина, сложность владения и тд)]], Таблица7[[#This Row],[Мощь дополнительного оружия(урон, длина, сложность владения и тд)]]+Таблица7[[#This Row],[Навык атаки]]))</f>
        <v/>
      </c>
      <c r="BB531" s="405"/>
      <c r="BC531" s="405"/>
      <c r="BD531" s="405"/>
      <c r="BE531" s="405" t="e">
        <f>VLOOKUP(Таблица7[[#This Row],[доспехи]], Броня[#All], 2, 0)+IF(Таблица7[[#This Row],[Доспех коня]]="да", VLOOKUP(Tables!$B$56,Броня[#All], 2, 0), 0)</f>
        <v>#N/A</v>
      </c>
      <c r="BF531" s="405" t="e">
        <f>VLOOKUP(Таблица7[[#This Row],[апгрейд 2]], Броня[#All], 2, 0)+IF(Таблица7[[#This Row],[Доспех коня]]="да", VLOOKUP(Tables!$B$56,Броня[#All], 2, 0), 0)</f>
        <v>#N/A</v>
      </c>
      <c r="BG531" s="405" t="e">
        <f>VLOOKUP(Таблица7[[#This Row],[апгрейд 3]], Броня[#All], 2, 0)+IF(Таблица7[[#This Row],[Доспех коня]]="да", VLOOKUP(Tables!$B$56,Броня[#All], 2, 0), 0)</f>
        <v>#N/A</v>
      </c>
      <c r="BI531" s="405"/>
      <c r="BK531" s="1007"/>
      <c r="BL531" s="1007"/>
      <c r="BM531" s="401"/>
      <c r="BN531" s="1003"/>
      <c r="BO531" s="401"/>
      <c r="BP531" s="401"/>
      <c r="BQ531" s="401"/>
      <c r="BR531" s="401"/>
      <c r="BS531" s="401"/>
      <c r="BT531" s="401"/>
      <c r="BU531" s="1003"/>
      <c r="BV531" s="1003"/>
      <c r="BW531" s="401"/>
      <c r="BX531" s="401"/>
      <c r="BY531" s="401"/>
      <c r="BZ531" s="28"/>
      <c r="CA531" s="28"/>
      <c r="CB531" s="28"/>
      <c r="CC531" s="28"/>
      <c r="CD531" s="28"/>
      <c r="CE531" s="28"/>
      <c r="CF531" s="28"/>
      <c r="CG531" s="28"/>
    </row>
    <row r="532" spans="1:85" ht="15" customHeight="1" x14ac:dyDescent="0.25">
      <c r="A532" s="333"/>
      <c r="B532" s="437"/>
      <c r="C532" s="437"/>
      <c r="D532" s="437"/>
      <c r="E532" s="437"/>
      <c r="F532" s="437"/>
      <c r="G532" s="437"/>
      <c r="H532" s="437"/>
      <c r="I532" s="663"/>
      <c r="J532" s="631"/>
      <c r="K532" s="631"/>
      <c r="L532" s="631"/>
      <c r="M532" s="633"/>
      <c r="N532" s="633"/>
      <c r="O532" s="633"/>
      <c r="P532" s="633"/>
      <c r="Q532" s="633"/>
      <c r="R532" s="437"/>
      <c r="S532" s="437"/>
      <c r="T532" s="437"/>
      <c r="U532" s="757"/>
      <c r="V532" s="446"/>
      <c r="W532" s="437"/>
      <c r="X532" s="437"/>
      <c r="Y532" s="437"/>
      <c r="Z532" s="437"/>
      <c r="AA532" s="437"/>
      <c r="AB532" s="437"/>
      <c r="AC532" s="437"/>
      <c r="AD532" s="757"/>
      <c r="AE532" s="757"/>
      <c r="AF532" s="437"/>
      <c r="AG532" s="437"/>
      <c r="AH532" s="437"/>
      <c r="AI532" s="437"/>
      <c r="AJ532" s="437"/>
      <c r="AK532" s="437"/>
      <c r="AL532" s="450"/>
      <c r="AM532" s="437"/>
      <c r="AN532" s="437"/>
      <c r="AO532" s="437"/>
      <c r="AP532" s="151"/>
      <c r="AQ532" s="151"/>
      <c r="AR532" s="151"/>
      <c r="AS532" s="151"/>
      <c r="AT532" s="154"/>
      <c r="AU532" s="405"/>
      <c r="AV532" s="405"/>
      <c r="AW532" s="405"/>
      <c r="AX532" s="405"/>
      <c r="AY532" s="405"/>
      <c r="AZ532" s="405"/>
      <c r="BA532" s="703"/>
      <c r="BB532" s="405"/>
      <c r="BC532" s="405"/>
      <c r="BD532" s="405"/>
      <c r="BI532" s="405"/>
      <c r="BK532" s="1006"/>
      <c r="BL532" s="1006"/>
      <c r="BM532" s="400"/>
      <c r="BN532" s="1002"/>
      <c r="BO532" s="400"/>
      <c r="BP532" s="400"/>
      <c r="BQ532" s="400"/>
      <c r="BR532" s="400"/>
      <c r="BS532" s="400"/>
      <c r="BT532" s="400"/>
      <c r="BU532" s="1002"/>
      <c r="BV532" s="1002"/>
      <c r="BW532" s="400"/>
      <c r="BX532" s="400"/>
      <c r="BY532" s="400"/>
      <c r="BZ532" s="28"/>
      <c r="CA532" s="28"/>
      <c r="CB532" s="28"/>
      <c r="CC532" s="28"/>
      <c r="CD532" s="28"/>
      <c r="CE532" s="28"/>
      <c r="CF532" s="28"/>
      <c r="CG532" s="28"/>
    </row>
    <row r="533" spans="1:85" ht="15" customHeight="1" x14ac:dyDescent="0.25">
      <c r="A533" s="333"/>
      <c r="B533" s="437"/>
      <c r="C533" s="437"/>
      <c r="D533" s="437"/>
      <c r="E533" s="437"/>
      <c r="F533" s="437"/>
      <c r="G533" s="437"/>
      <c r="H533" s="437"/>
      <c r="I533" s="663"/>
      <c r="J533" s="631"/>
      <c r="K533" s="631"/>
      <c r="L533" s="631"/>
      <c r="M533" s="633"/>
      <c r="N533" s="633"/>
      <c r="O533" s="633"/>
      <c r="P533" s="633"/>
      <c r="Q533" s="633"/>
      <c r="R533" s="437"/>
      <c r="S533" s="437"/>
      <c r="T533" s="437"/>
      <c r="U533" s="757"/>
      <c r="V533" s="446"/>
      <c r="W533" s="437"/>
      <c r="X533" s="437"/>
      <c r="Y533" s="437"/>
      <c r="Z533" s="437"/>
      <c r="AA533" s="437"/>
      <c r="AB533" s="437"/>
      <c r="AC533" s="437"/>
      <c r="AD533" s="757"/>
      <c r="AE533" s="757"/>
      <c r="AF533" s="437"/>
      <c r="AG533" s="437"/>
      <c r="AH533" s="437"/>
      <c r="AI533" s="437"/>
      <c r="AJ533" s="437"/>
      <c r="AK533" s="437"/>
      <c r="AL533" s="450"/>
      <c r="AM533" s="437"/>
      <c r="AN533" s="437"/>
      <c r="AO533" s="437"/>
      <c r="AP533" s="151"/>
      <c r="AQ533" s="151"/>
      <c r="AR533" s="151"/>
      <c r="AS533" s="151"/>
      <c r="AT533" s="154"/>
      <c r="AU533" s="405"/>
      <c r="AV533" s="405"/>
      <c r="AW533" s="405"/>
      <c r="AX533" s="405"/>
      <c r="AY533" s="405"/>
      <c r="AZ533" s="405"/>
      <c r="BA533" s="703"/>
      <c r="BB533" s="405"/>
      <c r="BC533" s="405"/>
      <c r="BD533" s="405"/>
      <c r="BI533" s="405"/>
      <c r="BK533" s="1006"/>
      <c r="BL533" s="1006"/>
      <c r="BM533" s="400"/>
      <c r="BN533" s="1002"/>
      <c r="BO533" s="400"/>
      <c r="BP533" s="400"/>
      <c r="BQ533" s="400"/>
      <c r="BR533" s="400"/>
      <c r="BS533" s="400"/>
      <c r="BT533" s="400"/>
      <c r="BU533" s="1002"/>
      <c r="BV533" s="1002"/>
      <c r="BW533" s="400"/>
      <c r="BX533" s="400"/>
      <c r="BY533" s="400"/>
      <c r="BZ533" s="28"/>
      <c r="CA533" s="28"/>
      <c r="CB533" s="28"/>
      <c r="CC533" s="28"/>
      <c r="CD533" s="28"/>
      <c r="CE533" s="28"/>
      <c r="CF533" s="28"/>
      <c r="CG533" s="28"/>
    </row>
    <row r="534" spans="1:85" x14ac:dyDescent="0.25">
      <c r="A534" s="28"/>
      <c r="K534" s="28"/>
      <c r="L534" s="665"/>
      <c r="M534" s="635"/>
      <c r="N534" s="635"/>
      <c r="O534" s="635"/>
      <c r="P534" s="635"/>
      <c r="Q534" s="635"/>
      <c r="X534" s="28"/>
      <c r="AM534" s="28"/>
      <c r="AN534" s="28"/>
      <c r="AO534" s="28"/>
      <c r="AZ534" s="635"/>
      <c r="BA534" s="635"/>
      <c r="BC534" s="28"/>
      <c r="BD534" s="28"/>
      <c r="BE534" s="333"/>
      <c r="BF534" s="333"/>
      <c r="BG534" s="333"/>
      <c r="BH534" s="333"/>
      <c r="BJ534" s="333"/>
      <c r="BK534" s="333"/>
      <c r="BL534" s="333"/>
      <c r="BM534" s="333"/>
      <c r="BN534" s="333"/>
      <c r="BP534" s="333"/>
      <c r="BQ534" s="333"/>
      <c r="BR534" s="333"/>
      <c r="BU534" s="333"/>
      <c r="CB534" s="28"/>
      <c r="CE534" s="28"/>
      <c r="CF534" s="28"/>
      <c r="CG534" s="28"/>
    </row>
    <row r="535" spans="1:85" x14ac:dyDescent="0.25">
      <c r="B535" s="28" t="s">
        <v>950</v>
      </c>
      <c r="R535" s="28" t="s">
        <v>951</v>
      </c>
      <c r="S535" s="28" t="s">
        <v>952</v>
      </c>
      <c r="X535" s="194" t="s">
        <v>953</v>
      </c>
      <c r="AP535" s="28" t="s">
        <v>954</v>
      </c>
      <c r="AQ535" s="28" t="s">
        <v>955</v>
      </c>
      <c r="AS535" s="28" t="s">
        <v>933</v>
      </c>
      <c r="BC535" s="402" t="s">
        <v>956</v>
      </c>
      <c r="BI535" s="703" t="s">
        <v>957</v>
      </c>
      <c r="BN535" s="405" t="s">
        <v>958</v>
      </c>
      <c r="BO535" s="405" t="s">
        <v>959</v>
      </c>
      <c r="BP535" s="405" t="s">
        <v>960</v>
      </c>
      <c r="CE535" s="402" t="s">
        <v>961</v>
      </c>
      <c r="CF535" s="402" t="s">
        <v>962</v>
      </c>
      <c r="CG535" s="402" t="s">
        <v>963</v>
      </c>
    </row>
    <row r="536" spans="1:85" x14ac:dyDescent="0.25">
      <c r="A536" s="326">
        <v>0</v>
      </c>
      <c r="B536" s="28" t="s">
        <v>931</v>
      </c>
      <c r="I536" s="28" t="s">
        <v>938</v>
      </c>
      <c r="J536" s="28" t="s">
        <v>939</v>
      </c>
      <c r="K536" s="157" t="s">
        <v>940</v>
      </c>
      <c r="R536" s="28" t="s">
        <v>932</v>
      </c>
      <c r="S536" s="28" t="s">
        <v>933</v>
      </c>
      <c r="X536" s="194" t="s">
        <v>934</v>
      </c>
      <c r="AP536" s="28" t="s">
        <v>935</v>
      </c>
      <c r="AQ536" s="28" t="s">
        <v>936</v>
      </c>
      <c r="AS536" s="28" t="s">
        <v>937</v>
      </c>
      <c r="BC536" s="402" t="s">
        <v>941</v>
      </c>
      <c r="BI536" s="703" t="s">
        <v>942</v>
      </c>
      <c r="BN536" s="405" t="s">
        <v>943</v>
      </c>
      <c r="BO536" s="405" t="s">
        <v>944</v>
      </c>
      <c r="BP536" s="405" t="s">
        <v>945</v>
      </c>
      <c r="CD536" s="1015" t="s">
        <v>946</v>
      </c>
      <c r="CE536" s="402" t="s">
        <v>947</v>
      </c>
      <c r="CF536" s="402" t="s">
        <v>948</v>
      </c>
      <c r="CG536" s="402" t="s">
        <v>949</v>
      </c>
    </row>
  </sheetData>
  <phoneticPr fontId="62" type="noConversion"/>
  <conditionalFormatting sqref="BH534:BH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509:BC509 BL534:BM1048576 BB531:BC533 BB1:BC320 BB322:BC501">
    <cfRule type="colorScale" priority="42">
      <colorScale>
        <cfvo type="min"/>
        <cfvo type="max"/>
        <color rgb="FFFFEF9C"/>
        <color rgb="FF63BE7B"/>
      </colorScale>
    </cfRule>
  </conditionalFormatting>
  <conditionalFormatting sqref="BH537 BH534:BN534 BL28:BL43 BK25:BL26 BH538:BV1048576 BK537:BV537 BH535:BV536 BP534:BV534 BK44:BL45 BK47:BL63 BL46 BK67:BL76 BL64:BL66 BK78:BL86 BL77 BK88:BL115 BL87 BK117:BL125 BL116 BL126 BL160:BL163 BL195 BK200:BL214 BL199 BK216:BL222 BL215 BK224:BL239 BL223 BL240:BL241 BK418:BL435 BL417 BK437:BL446 BL436 BK448:BL454 BL447 BL455 BK127:BL159 BK164:BL194 BK456:BL484 AZ1:BL23 BB25:BG29 BB24:BJ24 AZ531:BL533 BK242:BL320 BK322:BL416 BI474:BL476 BI322:BJ484 BA322:BG479 AZ315:BL319 BL24 AZ322:BA509 BH322:BH509 BB480:BG509 BI485:BL509 AZ504:BL509 BK196:BL198 BA30:BG320 BH25:BJ320 AZ24:BA320">
    <cfRule type="containsBlanks" dxfId="128" priority="41">
      <formula>LEN(TRIM(AZ1))=0</formula>
    </cfRule>
  </conditionalFormatting>
  <conditionalFormatting sqref="BI538:BI1048576 BJ536 BI534:BI5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31:BH533 BU534:BU1048576 BH1:BH320 BH322:BH5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31:BA533 BJ538:BK1048576 BK536:BK537 BJ534:BK535 AZ1:BA320 AZ322:BA50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09:BG509 BN535:BQ1048576 BN534 BP534:BQ534 BD531:BG533 BD1:BG320 BD322:BG5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:BL23 BV534:BV1048576 BL24 BK25:BL26 BL28:BL43 BK44:BL45 BK47:BL63 BL46 BK67:BL76 BL64:BL66 BK78:BL86 BL77 BK88:BL115 BL87 BK117:BL125 BL116 BK127:BL159 BL126 BL160:BL163 BK196:BL198 BL195 BK200:BL214 BL199 BK216:BL222 BL215 BK224:BL239 BL223 BL240:BL241 BK418:BL435 BL417 BK437:BL446 BL436 BK448:BL454 BL447 BL455 BJ315:BL319 BK456:BL473 BK164:BL194 BK242:BL314 BK320:BL320 BK322:BL416 BK476:BL484 BJ322:BJ473 BJ476:BJ487 BJ24:BJ320 BJ509:BL509 BJ531:BL533 BJ474:BL475 BJ485:BL50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534:BT1048576 BI509 BI531:BI533 BI1:BI320 BI322:BI50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BK42:BK43">
    <cfRule type="containsBlanks" dxfId="127" priority="27">
      <formula>LEN(TRIM(BK42))=0</formula>
    </cfRule>
  </conditionalFormatting>
  <conditionalFormatting sqref="BK42:BK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502:BC508">
    <cfRule type="colorScale" priority="22">
      <colorScale>
        <cfvo type="min"/>
        <cfvo type="max"/>
        <color rgb="FFFFEF9C"/>
        <color rgb="FF63BE7B"/>
      </colorScale>
    </cfRule>
  </conditionalFormatting>
  <conditionalFormatting sqref="BD502:BG50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02:BL50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02:BI508">
    <cfRule type="colorScale" priority="25">
      <colorScale>
        <cfvo type="min"/>
        <cfvo type="max"/>
        <color rgb="FFFCFCFF"/>
        <color rgb="FF63BE7B"/>
      </colorScale>
    </cfRule>
  </conditionalFormatting>
  <conditionalFormatting sqref="AU502:AU5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31:AV533 AU1:AV2 AU509 AU322:AU501 AU3:AU320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22:AV509 AV3:AV320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510:BC528">
    <cfRule type="colorScale" priority="4">
      <colorScale>
        <cfvo type="min"/>
        <cfvo type="max"/>
        <color rgb="FFFFEF9C"/>
        <color rgb="FF63BE7B"/>
      </colorScale>
    </cfRule>
  </conditionalFormatting>
  <conditionalFormatting sqref="AZ510:BL528">
    <cfRule type="containsBlanks" dxfId="126" priority="3">
      <formula>LEN(TRIM(AZ510))=0</formula>
    </cfRule>
  </conditionalFormatting>
  <conditionalFormatting sqref="BH510:BH5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10:BA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10:BG5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10:BL5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10:BI528">
    <cfRule type="colorScale" priority="7">
      <colorScale>
        <cfvo type="min"/>
        <cfvo type="max"/>
        <color rgb="FFFCFCFF"/>
        <color rgb="FF63BE7B"/>
      </colorScale>
    </cfRule>
  </conditionalFormatting>
  <conditionalFormatting sqref="AU510:AU5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10:AV5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Tables!$B$57:$B$92</xm:f>
          </x14:formula1>
          <xm:sqref>AD531:AK531</xm:sqref>
        </x14:dataValidation>
        <x14:dataValidation type="list" allowBlank="1" showInputMessage="1" showErrorMessage="1">
          <x14:formula1>
            <xm:f>Tables!$D$56:$D$59</xm:f>
          </x14:formula1>
          <xm:sqref>D2:D179 D181:D528 D531</xm:sqref>
        </x14:dataValidation>
        <x14:dataValidation type="list" allowBlank="1" showInputMessage="1" showErrorMessage="1">
          <x14:formula1>
            <xm:f>Tables!$E$37:$E$45</xm:f>
          </x14:formula1>
          <xm:sqref>AB531:AC531</xm:sqref>
        </x14:dataValidation>
        <x14:dataValidation type="list" allowBlank="1" showInputMessage="1" showErrorMessage="1">
          <x14:formula1>
            <xm:f>Tables!$K$99:$K$145</xm:f>
          </x14:formula1>
          <xm:sqref>X532:Y533</xm:sqref>
        </x14:dataValidation>
        <x14:dataValidation type="list" allowBlank="1" showInputMessage="1" showErrorMessage="1">
          <x14:formula1>
            <xm:f>Tables!$F$55:$F$65</xm:f>
          </x14:formula1>
          <xm:sqref>E2:H528 E531:H531</xm:sqref>
        </x14:dataValidation>
        <x14:dataValidation type="list" allowBlank="1" showInputMessage="1" showErrorMessage="1">
          <x14:formula1>
            <xm:f>Tables!$K$99:$K$168</xm:f>
          </x14:formula1>
          <xm:sqref>X531:AA531</xm:sqref>
        </x14:dataValidation>
        <x14:dataValidation type="list" allowBlank="1" showInputMessage="1" showErrorMessage="1">
          <x14:formula1>
            <xm:f>Tables!$AQ$32:$AQ$34</xm:f>
          </x14:formula1>
          <xm:sqref>AV322:AV528 AV2:AV320</xm:sqref>
        </x14:dataValidation>
        <x14:dataValidation type="list" allowBlank="1" showInputMessage="1" showErrorMessage="1">
          <x14:formula1>
            <xm:f>Tables!$S$19:$S$22</xm:f>
          </x14:formula1>
          <xm:sqref>BU322:BU528 BU2:BU320</xm:sqref>
        </x14:dataValidation>
        <x14:dataValidation type="list" allowBlank="1" showInputMessage="1" showErrorMessage="1">
          <x14:formula1>
            <xm:f>Tables!$S$24:$S$26</xm:f>
          </x14:formula1>
          <xm:sqref>BV322:BV528 BV24:BV320</xm:sqref>
        </x14:dataValidation>
        <x14:dataValidation type="list" allowBlank="1" showInputMessage="1" showErrorMessage="1">
          <x14:formula1>
            <xm:f>Tables!$B$57:$B$97</xm:f>
          </x14:formula1>
          <xm:sqref>AH319:AH320 AJ2:AJ528 AF2:AF528 AD2:AD528</xm:sqref>
        </x14:dataValidation>
        <x14:dataValidation type="list" allowBlank="1" showInputMessage="1" showErrorMessage="1">
          <x14:formula1>
            <xm:f>Tables!$B$56:$B$97</xm:f>
          </x14:formula1>
          <xm:sqref>AH321:AH528 AH2:AH318</xm:sqref>
        </x14:dataValidation>
        <x14:dataValidation type="list" allowBlank="1" showInputMessage="1" showErrorMessage="1">
          <x14:formula1>
            <xm:f>Tables!$L$99:$L$175</xm:f>
          </x14:formula1>
          <xm:sqref>Y2:Y528 AA2:AA528</xm:sqref>
        </x14:dataValidation>
        <x14:dataValidation type="list" allowBlank="1" showInputMessage="1" showErrorMessage="1">
          <x14:formula1>
            <xm:f>Tables!$F$37:$F$46</xm:f>
          </x14:formula1>
          <xm:sqref>AC2:AC528</xm:sqref>
        </x14:dataValidation>
        <x14:dataValidation type="list" allowBlank="1" showInputMessage="1" showErrorMessage="1">
          <x14:formula1>
            <xm:f>Tables!$K$99:$K$175</xm:f>
          </x14:formula1>
          <xm:sqref>X2:X528 Z2:Z528</xm:sqref>
        </x14:dataValidation>
        <x14:dataValidation type="list" allowBlank="1" showInputMessage="1" showErrorMessage="1">
          <x14:formula1>
            <xm:f>Tables!$C$56:$C$97</xm:f>
          </x14:formula1>
          <xm:sqref>AK2:AK528 AE2:AE528 AI2:AI528 AG2:AG528</xm:sqref>
        </x14:dataValidation>
        <x14:dataValidation type="list" allowBlank="1" showInputMessage="1" showErrorMessage="1">
          <x14:formula1>
            <xm:f>Tables!$E$37:$E$46</xm:f>
          </x14:formula1>
          <xm:sqref>AB2:AB528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5"/>
  <sheetViews>
    <sheetView workbookViewId="0">
      <selection activeCell="M55" sqref="M55"/>
    </sheetView>
  </sheetViews>
  <sheetFormatPr defaultRowHeight="15" x14ac:dyDescent="0.25"/>
  <cols>
    <col min="1" max="1" width="4.140625" customWidth="1"/>
  </cols>
  <sheetData>
    <row r="1" spans="2:2" x14ac:dyDescent="0.25">
      <c r="B1" t="s">
        <v>480</v>
      </c>
    </row>
    <row r="2" spans="2:2" x14ac:dyDescent="0.25">
      <c r="B2" t="s">
        <v>783</v>
      </c>
    </row>
    <row r="3" spans="2:2" x14ac:dyDescent="0.25">
      <c r="B3" t="s">
        <v>784</v>
      </c>
    </row>
    <row r="4" spans="2:2" x14ac:dyDescent="0.25">
      <c r="B4" t="s">
        <v>785</v>
      </c>
    </row>
    <row r="5" spans="2:2" x14ac:dyDescent="0.25">
      <c r="B5" t="s">
        <v>786</v>
      </c>
    </row>
    <row r="6" spans="2:2" x14ac:dyDescent="0.25">
      <c r="B6" t="s">
        <v>787</v>
      </c>
    </row>
    <row r="7" spans="2:2" x14ac:dyDescent="0.25">
      <c r="B7" t="s">
        <v>788</v>
      </c>
    </row>
    <row r="8" spans="2:2" x14ac:dyDescent="0.25">
      <c r="B8" t="s">
        <v>789</v>
      </c>
    </row>
    <row r="9" spans="2:2" x14ac:dyDescent="0.25">
      <c r="B9" t="s">
        <v>790</v>
      </c>
    </row>
    <row r="10" spans="2:2" x14ac:dyDescent="0.25">
      <c r="B10" t="s">
        <v>791</v>
      </c>
    </row>
    <row r="11" spans="2:2" x14ac:dyDescent="0.25">
      <c r="B11" t="s">
        <v>852</v>
      </c>
    </row>
    <row r="12" spans="2:2" x14ac:dyDescent="0.25">
      <c r="B12" t="s">
        <v>792</v>
      </c>
    </row>
    <row r="13" spans="2:2" x14ac:dyDescent="0.25">
      <c r="B13" t="s">
        <v>793</v>
      </c>
    </row>
    <row r="14" spans="2:2" x14ac:dyDescent="0.25">
      <c r="B14" t="s">
        <v>794</v>
      </c>
    </row>
    <row r="15" spans="2:2" x14ac:dyDescent="0.25">
      <c r="B15" t="s">
        <v>795</v>
      </c>
    </row>
    <row r="16" spans="2:2" x14ac:dyDescent="0.25">
      <c r="B16" t="s">
        <v>796</v>
      </c>
    </row>
    <row r="17" spans="2:2" x14ac:dyDescent="0.25">
      <c r="B17" t="s">
        <v>844</v>
      </c>
    </row>
    <row r="18" spans="2:2" x14ac:dyDescent="0.25">
      <c r="B18" t="s">
        <v>797</v>
      </c>
    </row>
    <row r="19" spans="2:2" x14ac:dyDescent="0.25">
      <c r="B19" t="s">
        <v>798</v>
      </c>
    </row>
    <row r="20" spans="2:2" x14ac:dyDescent="0.25">
      <c r="B20" t="s">
        <v>799</v>
      </c>
    </row>
    <row r="21" spans="2:2" x14ac:dyDescent="0.25">
      <c r="B21" t="s">
        <v>800</v>
      </c>
    </row>
    <row r="22" spans="2:2" x14ac:dyDescent="0.25">
      <c r="B22" t="s">
        <v>801</v>
      </c>
    </row>
    <row r="23" spans="2:2" x14ac:dyDescent="0.25">
      <c r="B23" t="s">
        <v>802</v>
      </c>
    </row>
    <row r="24" spans="2:2" x14ac:dyDescent="0.25">
      <c r="B24" t="s">
        <v>803</v>
      </c>
    </row>
    <row r="25" spans="2:2" x14ac:dyDescent="0.25">
      <c r="B25" t="s">
        <v>804</v>
      </c>
    </row>
    <row r="26" spans="2:2" x14ac:dyDescent="0.25">
      <c r="B26" t="s">
        <v>805</v>
      </c>
    </row>
    <row r="27" spans="2:2" x14ac:dyDescent="0.25">
      <c r="B27" t="s">
        <v>806</v>
      </c>
    </row>
    <row r="28" spans="2:2" x14ac:dyDescent="0.25">
      <c r="B28" t="s">
        <v>807</v>
      </c>
    </row>
    <row r="29" spans="2:2" x14ac:dyDescent="0.25">
      <c r="B29" t="s">
        <v>808</v>
      </c>
    </row>
    <row r="30" spans="2:2" x14ac:dyDescent="0.25">
      <c r="B30" t="s">
        <v>845</v>
      </c>
    </row>
    <row r="31" spans="2:2" x14ac:dyDescent="0.25">
      <c r="B31" t="s">
        <v>809</v>
      </c>
    </row>
    <row r="32" spans="2:2" x14ac:dyDescent="0.25">
      <c r="B32" t="s">
        <v>810</v>
      </c>
    </row>
    <row r="33" spans="2:2" x14ac:dyDescent="0.25">
      <c r="B33" t="s">
        <v>671</v>
      </c>
    </row>
    <row r="34" spans="2:2" x14ac:dyDescent="0.25">
      <c r="B34" t="s">
        <v>811</v>
      </c>
    </row>
    <row r="35" spans="2:2" x14ac:dyDescent="0.25">
      <c r="B35" t="s">
        <v>812</v>
      </c>
    </row>
    <row r="36" spans="2:2" x14ac:dyDescent="0.25">
      <c r="B36" t="s">
        <v>846</v>
      </c>
    </row>
    <row r="37" spans="2:2" x14ac:dyDescent="0.25">
      <c r="B37" t="s">
        <v>847</v>
      </c>
    </row>
    <row r="38" spans="2:2" x14ac:dyDescent="0.25">
      <c r="B38" t="s">
        <v>848</v>
      </c>
    </row>
    <row r="39" spans="2:2" x14ac:dyDescent="0.25">
      <c r="B39" t="s">
        <v>813</v>
      </c>
    </row>
    <row r="40" spans="2:2" x14ac:dyDescent="0.25">
      <c r="B40" t="s">
        <v>814</v>
      </c>
    </row>
    <row r="41" spans="2:2" x14ac:dyDescent="0.25">
      <c r="B41" t="s">
        <v>815</v>
      </c>
    </row>
    <row r="42" spans="2:2" x14ac:dyDescent="0.25">
      <c r="B42" t="s">
        <v>816</v>
      </c>
    </row>
    <row r="43" spans="2:2" x14ac:dyDescent="0.25">
      <c r="B43" t="s">
        <v>817</v>
      </c>
    </row>
    <row r="44" spans="2:2" x14ac:dyDescent="0.25">
      <c r="B44" t="s">
        <v>818</v>
      </c>
    </row>
    <row r="45" spans="2:2" x14ac:dyDescent="0.25">
      <c r="B45" t="s">
        <v>819</v>
      </c>
    </row>
    <row r="46" spans="2:2" x14ac:dyDescent="0.25">
      <c r="B46" t="s">
        <v>820</v>
      </c>
    </row>
    <row r="47" spans="2:2" x14ac:dyDescent="0.25">
      <c r="B47" t="s">
        <v>821</v>
      </c>
    </row>
    <row r="48" spans="2:2" x14ac:dyDescent="0.25">
      <c r="B48" t="s">
        <v>822</v>
      </c>
    </row>
    <row r="49" spans="2:25" x14ac:dyDescent="0.25">
      <c r="B49" t="s">
        <v>823</v>
      </c>
    </row>
    <row r="50" spans="2:25" x14ac:dyDescent="0.25">
      <c r="B50" t="s">
        <v>257</v>
      </c>
    </row>
    <row r="51" spans="2:25" x14ac:dyDescent="0.25">
      <c r="B51" t="s">
        <v>851</v>
      </c>
    </row>
    <row r="52" spans="2:25" x14ac:dyDescent="0.25">
      <c r="B52" t="s">
        <v>849</v>
      </c>
    </row>
    <row r="53" spans="2:25" x14ac:dyDescent="0.25">
      <c r="B53" t="s">
        <v>850</v>
      </c>
    </row>
    <row r="54" spans="2:25" x14ac:dyDescent="0.25">
      <c r="B54" t="s">
        <v>258</v>
      </c>
    </row>
    <row r="55" spans="2:25" x14ac:dyDescent="0.25">
      <c r="B55" t="s">
        <v>824</v>
      </c>
    </row>
    <row r="56" spans="2:25" x14ac:dyDescent="0.25">
      <c r="B56" t="s">
        <v>825</v>
      </c>
    </row>
    <row r="57" spans="2:25" x14ac:dyDescent="0.25">
      <c r="B57" t="s">
        <v>826</v>
      </c>
      <c r="Y57">
        <f>100-Y58</f>
        <v>70</v>
      </c>
    </row>
    <row r="58" spans="2:25" x14ac:dyDescent="0.25">
      <c r="B58" t="s">
        <v>827</v>
      </c>
      <c r="Y58">
        <f>5*3*2</f>
        <v>30</v>
      </c>
    </row>
    <row r="59" spans="2:25" x14ac:dyDescent="0.25">
      <c r="B59" t="s">
        <v>828</v>
      </c>
    </row>
    <row r="60" spans="2:25" x14ac:dyDescent="0.25">
      <c r="B60" t="s">
        <v>829</v>
      </c>
    </row>
    <row r="61" spans="2:25" x14ac:dyDescent="0.25">
      <c r="B61" t="s">
        <v>383</v>
      </c>
    </row>
    <row r="62" spans="2:25" x14ac:dyDescent="0.25">
      <c r="B62" t="s">
        <v>830</v>
      </c>
    </row>
    <row r="63" spans="2:25" x14ac:dyDescent="0.25">
      <c r="B63" t="s">
        <v>831</v>
      </c>
    </row>
    <row r="64" spans="2:25" x14ac:dyDescent="0.25">
      <c r="B64" t="s">
        <v>832</v>
      </c>
    </row>
    <row r="65" spans="2:2" x14ac:dyDescent="0.25">
      <c r="B65" t="s">
        <v>833</v>
      </c>
    </row>
    <row r="66" spans="2:2" x14ac:dyDescent="0.25">
      <c r="B66" t="s">
        <v>834</v>
      </c>
    </row>
    <row r="67" spans="2:2" x14ac:dyDescent="0.25">
      <c r="B67" t="s">
        <v>835</v>
      </c>
    </row>
    <row r="68" spans="2:2" x14ac:dyDescent="0.25">
      <c r="B68" t="s">
        <v>836</v>
      </c>
    </row>
    <row r="69" spans="2:2" x14ac:dyDescent="0.25">
      <c r="B69" t="s">
        <v>837</v>
      </c>
    </row>
    <row r="70" spans="2:2" x14ac:dyDescent="0.25">
      <c r="B70" t="s">
        <v>838</v>
      </c>
    </row>
    <row r="71" spans="2:2" x14ac:dyDescent="0.25">
      <c r="B71" t="s">
        <v>839</v>
      </c>
    </row>
    <row r="72" spans="2:2" x14ac:dyDescent="0.25">
      <c r="B72" t="s">
        <v>840</v>
      </c>
    </row>
    <row r="73" spans="2:2" x14ac:dyDescent="0.25">
      <c r="B73" t="s">
        <v>841</v>
      </c>
    </row>
    <row r="74" spans="2:2" x14ac:dyDescent="0.25">
      <c r="B74" t="s">
        <v>842</v>
      </c>
    </row>
    <row r="75" spans="2:2" x14ac:dyDescent="0.25">
      <c r="B75" t="s">
        <v>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1709"/>
  <sheetViews>
    <sheetView topLeftCell="I148" zoomScaleNormal="100" workbookViewId="0">
      <selection activeCell="K180" sqref="K180"/>
    </sheetView>
  </sheetViews>
  <sheetFormatPr defaultRowHeight="15" outlineLevelCol="1" x14ac:dyDescent="0.25"/>
  <cols>
    <col min="2" max="2" width="52.28515625" style="335" bestFit="1" customWidth="1"/>
    <col min="3" max="3" width="17.28515625" style="335" bestFit="1" customWidth="1"/>
    <col min="4" max="4" width="12" style="335" customWidth="1"/>
    <col min="5" max="6" width="21.5703125" bestFit="1" customWidth="1"/>
    <col min="8" max="8" width="35" bestFit="1" customWidth="1"/>
    <col min="9" max="9" width="11.85546875" customWidth="1"/>
    <col min="11" max="11" width="35.5703125" style="421" bestFit="1" customWidth="1"/>
    <col min="12" max="12" width="17.28515625" bestFit="1" customWidth="1"/>
    <col min="13" max="13" width="9.5703125" bestFit="1" customWidth="1"/>
    <col min="14" max="14" width="18.5703125" bestFit="1" customWidth="1"/>
    <col min="15" max="15" width="20.7109375" bestFit="1" customWidth="1"/>
    <col min="16" max="17" width="11.28515625" customWidth="1"/>
    <col min="19" max="19" width="22.5703125" bestFit="1" customWidth="1"/>
    <col min="20" max="20" width="11.85546875" customWidth="1"/>
    <col min="22" max="22" width="40.140625" bestFit="1" customWidth="1"/>
    <col min="23" max="23" width="11.85546875" customWidth="1"/>
    <col min="25" max="25" width="22.140625" bestFit="1" customWidth="1"/>
    <col min="26" max="26" width="12" bestFit="1" customWidth="1"/>
    <col min="27" max="27" width="27.28515625" bestFit="1" customWidth="1"/>
    <col min="28" max="28" width="63.85546875" bestFit="1" customWidth="1"/>
    <col min="30" max="30" width="17.28515625" bestFit="1" customWidth="1"/>
    <col min="31" max="31" width="14" bestFit="1" customWidth="1"/>
    <col min="32" max="32" width="15.140625" bestFit="1" customWidth="1"/>
    <col min="33" max="33" width="10.28515625" bestFit="1" customWidth="1"/>
    <col min="35" max="35" width="16" bestFit="1" customWidth="1"/>
    <col min="36" max="36" width="9.28515625" customWidth="1"/>
    <col min="37" max="37" width="15.7109375" bestFit="1" customWidth="1"/>
    <col min="38" max="38" width="10.7109375" bestFit="1" customWidth="1"/>
    <col min="39" max="39" width="8.85546875" bestFit="1" customWidth="1"/>
    <col min="40" max="40" width="6.85546875" bestFit="1" customWidth="1"/>
    <col min="41" max="41" width="7.7109375" bestFit="1" customWidth="1"/>
    <col min="43" max="43" width="27.7109375" bestFit="1" customWidth="1"/>
    <col min="44" max="44" width="12.85546875" customWidth="1" outlineLevel="1"/>
    <col min="45" max="45" width="18.28515625" customWidth="1" outlineLevel="1"/>
    <col min="46" max="46" width="12.7109375" customWidth="1"/>
    <col min="47" max="47" width="11.42578125" customWidth="1"/>
    <col min="48" max="50" width="15.7109375" customWidth="1"/>
    <col min="52" max="52" width="32.5703125" bestFit="1" customWidth="1"/>
    <col min="53" max="54" width="12" customWidth="1"/>
    <col min="57" max="57" width="23.7109375" bestFit="1" customWidth="1"/>
    <col min="61" max="61" width="9.28515625" customWidth="1"/>
  </cols>
  <sheetData>
    <row r="2" spans="2:61" x14ac:dyDescent="0.25">
      <c r="B2" s="337" t="s">
        <v>1466</v>
      </c>
      <c r="C2" s="337" t="s">
        <v>1459</v>
      </c>
      <c r="D2" s="337"/>
      <c r="E2" t="s">
        <v>1506</v>
      </c>
      <c r="F2" t="s">
        <v>1459</v>
      </c>
      <c r="H2" t="s">
        <v>1540</v>
      </c>
      <c r="I2" t="s">
        <v>1459</v>
      </c>
      <c r="K2" s="421" t="s">
        <v>1464</v>
      </c>
      <c r="L2" t="s">
        <v>1527</v>
      </c>
      <c r="M2" t="s">
        <v>1460</v>
      </c>
      <c r="N2" t="s">
        <v>1463</v>
      </c>
      <c r="O2" t="s">
        <v>1462</v>
      </c>
      <c r="P2" t="s">
        <v>1862</v>
      </c>
      <c r="Q2" t="s">
        <v>1863</v>
      </c>
      <c r="S2" t="s">
        <v>1461</v>
      </c>
      <c r="T2" t="s">
        <v>1459</v>
      </c>
      <c r="V2" t="s">
        <v>1460</v>
      </c>
      <c r="W2" t="s">
        <v>1459</v>
      </c>
      <c r="Y2" t="s">
        <v>1563</v>
      </c>
      <c r="Z2" t="s">
        <v>1459</v>
      </c>
      <c r="AA2" t="s">
        <v>1564</v>
      </c>
      <c r="AB2" t="s">
        <v>1567</v>
      </c>
      <c r="AD2" s="474"/>
      <c r="AE2" s="475" t="s">
        <v>1574</v>
      </c>
      <c r="AF2" s="475"/>
      <c r="AG2" s="475"/>
      <c r="AI2" t="s">
        <v>1598</v>
      </c>
      <c r="AJ2" s="335" t="s">
        <v>1597</v>
      </c>
      <c r="AK2" t="s">
        <v>1599</v>
      </c>
      <c r="AL2" t="s">
        <v>1600</v>
      </c>
      <c r="AM2" t="s">
        <v>1601</v>
      </c>
      <c r="AN2" t="s">
        <v>1602</v>
      </c>
      <c r="AO2" t="s">
        <v>1603</v>
      </c>
      <c r="AQ2" t="s">
        <v>1699</v>
      </c>
      <c r="AR2" t="s">
        <v>1527</v>
      </c>
      <c r="AS2" t="s">
        <v>1463</v>
      </c>
      <c r="AT2" t="s">
        <v>1700</v>
      </c>
      <c r="AU2" t="s">
        <v>1701</v>
      </c>
      <c r="AV2" t="s">
        <v>1826</v>
      </c>
      <c r="AW2" t="s">
        <v>1827</v>
      </c>
      <c r="AX2" t="s">
        <v>1828</v>
      </c>
      <c r="BE2" t="s">
        <v>1858</v>
      </c>
      <c r="BF2" t="s">
        <v>1854</v>
      </c>
      <c r="BG2" t="s">
        <v>1855</v>
      </c>
      <c r="BH2" t="s">
        <v>1856</v>
      </c>
      <c r="BI2" t="s">
        <v>1857</v>
      </c>
    </row>
    <row r="3" spans="2:61" x14ac:dyDescent="0.25">
      <c r="B3" s="337" t="s">
        <v>1005</v>
      </c>
      <c r="C3" s="336">
        <v>23</v>
      </c>
      <c r="D3" s="336"/>
      <c r="E3" s="414" t="s">
        <v>1596</v>
      </c>
      <c r="F3" s="336">
        <v>10</v>
      </c>
      <c r="H3" t="s">
        <v>1539</v>
      </c>
      <c r="I3" s="336">
        <v>10</v>
      </c>
      <c r="K3" s="423" t="s">
        <v>987</v>
      </c>
      <c r="L3" s="336">
        <v>8</v>
      </c>
      <c r="M3" s="336">
        <v>8</v>
      </c>
      <c r="N3" t="s">
        <v>985</v>
      </c>
      <c r="O3">
        <v>0</v>
      </c>
      <c r="P3">
        <v>0</v>
      </c>
      <c r="Q3">
        <v>0</v>
      </c>
      <c r="S3" t="s">
        <v>1539</v>
      </c>
      <c r="T3" s="336">
        <v>12</v>
      </c>
      <c r="V3" t="s">
        <v>1457</v>
      </c>
      <c r="W3" s="336">
        <v>10</v>
      </c>
      <c r="Y3" s="413" t="s">
        <v>1555</v>
      </c>
      <c r="Z3" s="371">
        <v>-2</v>
      </c>
      <c r="AA3" s="413" t="s">
        <v>1566</v>
      </c>
      <c r="AB3" s="413" t="s">
        <v>1568</v>
      </c>
      <c r="AD3" t="s">
        <v>1543</v>
      </c>
      <c r="AE3" s="413"/>
      <c r="AF3" s="475" t="s">
        <v>1575</v>
      </c>
      <c r="AG3" s="475"/>
      <c r="AI3" s="491"/>
      <c r="AJ3" s="492">
        <v>0</v>
      </c>
      <c r="AK3" s="493" t="s">
        <v>1604</v>
      </c>
      <c r="AL3" s="494">
        <v>1</v>
      </c>
      <c r="AM3" s="494">
        <v>2</v>
      </c>
      <c r="AN3" s="494">
        <v>2</v>
      </c>
      <c r="AO3" s="494">
        <v>-2</v>
      </c>
      <c r="AQ3" s="668" t="s">
        <v>1684</v>
      </c>
      <c r="AR3" s="667">
        <v>55</v>
      </c>
      <c r="AS3" t="s">
        <v>1163</v>
      </c>
      <c r="AT3">
        <v>80</v>
      </c>
      <c r="AU3" t="s">
        <v>1720</v>
      </c>
      <c r="AV3" s="682">
        <v>0.09</v>
      </c>
      <c r="AW3" s="682">
        <v>0.09</v>
      </c>
      <c r="AX3" s="682">
        <v>0.09</v>
      </c>
      <c r="AZ3" t="s">
        <v>1556</v>
      </c>
      <c r="BA3" t="s">
        <v>1726</v>
      </c>
      <c r="BB3" t="s">
        <v>1727</v>
      </c>
      <c r="BE3" t="s">
        <v>1845</v>
      </c>
      <c r="BF3" s="699">
        <v>0.75</v>
      </c>
      <c r="BG3" s="699">
        <v>0.75</v>
      </c>
      <c r="BH3" s="699">
        <v>0.75</v>
      </c>
      <c r="BI3" s="699">
        <v>0.75</v>
      </c>
    </row>
    <row r="4" spans="2:61" x14ac:dyDescent="0.25">
      <c r="B4" s="337" t="s">
        <v>1004</v>
      </c>
      <c r="C4" s="336">
        <v>22</v>
      </c>
      <c r="D4" s="336"/>
      <c r="E4" s="414" t="s">
        <v>1453</v>
      </c>
      <c r="F4" s="336">
        <v>9</v>
      </c>
      <c r="H4" t="s">
        <v>1455</v>
      </c>
      <c r="I4" s="336">
        <v>9</v>
      </c>
      <c r="K4" s="423" t="s">
        <v>1156</v>
      </c>
      <c r="L4" s="336">
        <v>8</v>
      </c>
      <c r="M4" s="336">
        <v>8</v>
      </c>
      <c r="N4" t="s">
        <v>1163</v>
      </c>
      <c r="O4">
        <v>0</v>
      </c>
      <c r="P4">
        <v>0</v>
      </c>
      <c r="Q4">
        <v>0</v>
      </c>
      <c r="S4" t="s">
        <v>1455</v>
      </c>
      <c r="T4" s="336">
        <v>11</v>
      </c>
      <c r="V4" t="s">
        <v>1456</v>
      </c>
      <c r="W4" s="336">
        <v>8</v>
      </c>
      <c r="Y4" s="469" t="s">
        <v>1546</v>
      </c>
      <c r="Z4" s="371">
        <v>2</v>
      </c>
      <c r="AA4" s="413" t="s">
        <v>1565</v>
      </c>
      <c r="AB4" s="413" t="s">
        <v>1573</v>
      </c>
      <c r="AE4" t="s">
        <v>1546</v>
      </c>
      <c r="AF4" t="s">
        <v>1448</v>
      </c>
      <c r="AG4" t="s">
        <v>1547</v>
      </c>
      <c r="AI4" s="491" t="s">
        <v>1605</v>
      </c>
      <c r="AJ4" s="492">
        <v>0</v>
      </c>
      <c r="AK4" s="493" t="s">
        <v>1606</v>
      </c>
      <c r="AL4" s="494">
        <v>0</v>
      </c>
      <c r="AM4" s="494">
        <v>2</v>
      </c>
      <c r="AN4" s="494">
        <v>0</v>
      </c>
      <c r="AO4" s="494">
        <v>-2</v>
      </c>
      <c r="AQ4" s="668" t="s">
        <v>1686</v>
      </c>
      <c r="AR4" s="667">
        <v>40</v>
      </c>
      <c r="AS4" t="s">
        <v>1163</v>
      </c>
      <c r="AT4">
        <v>40</v>
      </c>
      <c r="AU4">
        <v>5</v>
      </c>
      <c r="AV4" s="683"/>
      <c r="AW4" s="684" t="s">
        <v>1830</v>
      </c>
      <c r="AX4" s="683"/>
      <c r="AZ4" s="413" t="s">
        <v>1546</v>
      </c>
      <c r="BA4" s="579">
        <v>90</v>
      </c>
      <c r="BB4" s="579">
        <v>100</v>
      </c>
      <c r="BE4" t="s">
        <v>1846</v>
      </c>
      <c r="BF4" s="699">
        <v>0.75</v>
      </c>
      <c r="BG4" s="699">
        <v>0.75</v>
      </c>
      <c r="BH4" s="699">
        <v>0.75</v>
      </c>
      <c r="BI4" s="699">
        <v>0.75</v>
      </c>
    </row>
    <row r="5" spans="2:61" x14ac:dyDescent="0.25">
      <c r="B5" s="337" t="s">
        <v>1164</v>
      </c>
      <c r="C5" s="336">
        <v>21</v>
      </c>
      <c r="D5" s="336"/>
      <c r="E5" s="414" t="s">
        <v>1505</v>
      </c>
      <c r="F5" s="336">
        <v>7</v>
      </c>
      <c r="H5" t="s">
        <v>1538</v>
      </c>
      <c r="I5" s="336">
        <v>8</v>
      </c>
      <c r="K5" s="429" t="s">
        <v>1208</v>
      </c>
      <c r="L5" s="336">
        <v>8</v>
      </c>
      <c r="M5" s="336">
        <v>8</v>
      </c>
      <c r="N5" t="s">
        <v>1163</v>
      </c>
      <c r="O5">
        <v>0</v>
      </c>
      <c r="P5">
        <v>0</v>
      </c>
      <c r="Q5">
        <v>0</v>
      </c>
      <c r="S5" t="s">
        <v>1538</v>
      </c>
      <c r="T5" s="336">
        <v>10</v>
      </c>
      <c r="V5" t="s">
        <v>1454</v>
      </c>
      <c r="W5" s="336">
        <v>6</v>
      </c>
      <c r="Y5" s="469" t="s">
        <v>1558</v>
      </c>
      <c r="Z5" s="371">
        <v>1</v>
      </c>
      <c r="AA5" s="413" t="s">
        <v>1565</v>
      </c>
      <c r="AB5" s="413" t="s">
        <v>1573</v>
      </c>
      <c r="AD5" s="473">
        <v>1</v>
      </c>
      <c r="AE5" s="476" t="s">
        <v>1576</v>
      </c>
      <c r="AF5" s="476" t="s">
        <v>1576</v>
      </c>
      <c r="AG5" s="476" t="s">
        <v>1576</v>
      </c>
      <c r="AI5" s="491" t="s">
        <v>1115</v>
      </c>
      <c r="AJ5" s="492">
        <v>0</v>
      </c>
      <c r="AK5" s="493" t="s">
        <v>1607</v>
      </c>
      <c r="AL5" s="494">
        <v>0</v>
      </c>
      <c r="AM5" s="494">
        <v>2</v>
      </c>
      <c r="AN5" s="494">
        <v>-1</v>
      </c>
      <c r="AO5" s="494">
        <v>-2</v>
      </c>
      <c r="AQ5" s="668" t="s">
        <v>1691</v>
      </c>
      <c r="AR5" s="667">
        <v>40</v>
      </c>
      <c r="AS5" t="s">
        <v>1163</v>
      </c>
      <c r="AT5">
        <v>40</v>
      </c>
      <c r="AU5">
        <v>5</v>
      </c>
      <c r="AV5" s="683"/>
      <c r="AW5" s="684" t="s">
        <v>1830</v>
      </c>
      <c r="AX5" s="683"/>
      <c r="AZ5" s="413" t="s">
        <v>1558</v>
      </c>
      <c r="BA5" s="579">
        <v>90</v>
      </c>
      <c r="BB5" s="579">
        <v>100</v>
      </c>
      <c r="BE5" t="s">
        <v>1847</v>
      </c>
      <c r="BF5" s="699">
        <v>0.75</v>
      </c>
      <c r="BG5" s="699">
        <v>0.75</v>
      </c>
      <c r="BH5" s="699">
        <v>0.75</v>
      </c>
      <c r="BI5" s="699">
        <v>0.75</v>
      </c>
    </row>
    <row r="6" spans="2:61" x14ac:dyDescent="0.25">
      <c r="B6" s="370" t="s">
        <v>1486</v>
      </c>
      <c r="C6" s="369">
        <v>21</v>
      </c>
      <c r="D6" s="336"/>
      <c r="E6" s="414" t="s">
        <v>944</v>
      </c>
      <c r="F6" s="336">
        <v>5</v>
      </c>
      <c r="H6" t="s">
        <v>1451</v>
      </c>
      <c r="I6" s="336">
        <v>7</v>
      </c>
      <c r="K6" s="429" t="s">
        <v>1152</v>
      </c>
      <c r="L6" s="336">
        <v>8</v>
      </c>
      <c r="M6" s="336">
        <v>8</v>
      </c>
      <c r="N6" t="s">
        <v>985</v>
      </c>
      <c r="O6">
        <v>0</v>
      </c>
      <c r="P6">
        <v>0</v>
      </c>
      <c r="Q6">
        <v>0</v>
      </c>
      <c r="S6" t="s">
        <v>1451</v>
      </c>
      <c r="T6" s="336">
        <v>9</v>
      </c>
      <c r="V6" t="s">
        <v>1452</v>
      </c>
      <c r="W6" s="336">
        <v>6</v>
      </c>
      <c r="Y6" s="471" t="s">
        <v>1448</v>
      </c>
      <c r="Z6" s="371">
        <v>0</v>
      </c>
      <c r="AA6" s="413" t="s">
        <v>1565</v>
      </c>
      <c r="AB6" s="413" t="s">
        <v>1573</v>
      </c>
      <c r="AD6" s="472">
        <v>2</v>
      </c>
      <c r="AE6" s="2" t="s">
        <v>1577</v>
      </c>
      <c r="AF6" s="2" t="s">
        <v>1577</v>
      </c>
      <c r="AG6" s="476" t="s">
        <v>1576</v>
      </c>
      <c r="AI6" s="491"/>
      <c r="AJ6" s="492">
        <v>0</v>
      </c>
      <c r="AK6" s="493" t="s">
        <v>1608</v>
      </c>
      <c r="AL6" s="494">
        <v>-1</v>
      </c>
      <c r="AM6" s="494">
        <v>2</v>
      </c>
      <c r="AN6" s="494">
        <v>-2</v>
      </c>
      <c r="AO6" s="494">
        <v>-2</v>
      </c>
      <c r="AQ6" s="570" t="s">
        <v>1685</v>
      </c>
      <c r="AR6" s="667">
        <v>40</v>
      </c>
      <c r="AS6" t="s">
        <v>1163</v>
      </c>
      <c r="AT6">
        <v>30</v>
      </c>
      <c r="AU6">
        <v>2</v>
      </c>
      <c r="AV6" s="683"/>
      <c r="AW6" s="684" t="s">
        <v>1829</v>
      </c>
      <c r="AX6" s="683"/>
      <c r="AZ6" s="413" t="s">
        <v>1448</v>
      </c>
      <c r="BA6" s="579">
        <v>90</v>
      </c>
      <c r="BB6" s="579">
        <v>100</v>
      </c>
      <c r="BE6" t="s">
        <v>1848</v>
      </c>
      <c r="BF6" s="699" t="s">
        <v>1859</v>
      </c>
      <c r="BG6" s="699">
        <v>0.75</v>
      </c>
      <c r="BH6" s="699">
        <v>1</v>
      </c>
      <c r="BI6" s="699">
        <v>0.6</v>
      </c>
    </row>
    <row r="7" spans="2:61" x14ac:dyDescent="0.25">
      <c r="B7" s="337" t="s">
        <v>1075</v>
      </c>
      <c r="C7" s="336">
        <v>20</v>
      </c>
      <c r="D7" s="336"/>
      <c r="E7" s="415" t="s">
        <v>1504</v>
      </c>
      <c r="F7" s="336">
        <v>5</v>
      </c>
      <c r="H7" t="s">
        <v>1537</v>
      </c>
      <c r="I7" s="336">
        <v>6</v>
      </c>
      <c r="K7" s="493" t="s">
        <v>1692</v>
      </c>
      <c r="L7">
        <v>8</v>
      </c>
      <c r="M7">
        <v>1</v>
      </c>
      <c r="N7" t="s">
        <v>985</v>
      </c>
      <c r="O7">
        <v>0</v>
      </c>
      <c r="P7">
        <v>0</v>
      </c>
      <c r="Q7">
        <v>0</v>
      </c>
      <c r="S7" t="s">
        <v>1537</v>
      </c>
      <c r="T7" s="336">
        <v>8</v>
      </c>
      <c r="V7" t="s">
        <v>1450</v>
      </c>
      <c r="W7" s="336">
        <v>4</v>
      </c>
      <c r="Y7" s="469" t="s">
        <v>1559</v>
      </c>
      <c r="Z7" s="371">
        <v>-1</v>
      </c>
      <c r="AA7" s="413" t="s">
        <v>1565</v>
      </c>
      <c r="AB7" s="413" t="s">
        <v>1573</v>
      </c>
      <c r="AD7" s="473">
        <v>3</v>
      </c>
      <c r="AE7" s="477" t="s">
        <v>1578</v>
      </c>
      <c r="AF7" s="2" t="s">
        <v>1577</v>
      </c>
      <c r="AG7" s="476" t="s">
        <v>1576</v>
      </c>
      <c r="AI7" s="491"/>
      <c r="AJ7" s="492">
        <v>0</v>
      </c>
      <c r="AK7" s="493" t="s">
        <v>1609</v>
      </c>
      <c r="AL7" s="494">
        <v>-2</v>
      </c>
      <c r="AM7" s="494">
        <v>0</v>
      </c>
      <c r="AN7" s="494">
        <v>-4</v>
      </c>
      <c r="AO7" s="494">
        <v>-2</v>
      </c>
      <c r="AQ7" s="569" t="s">
        <v>1698</v>
      </c>
      <c r="AR7">
        <v>38</v>
      </c>
      <c r="AS7" t="s">
        <v>1163</v>
      </c>
      <c r="AT7">
        <v>180</v>
      </c>
      <c r="AU7">
        <v>8</v>
      </c>
      <c r="AV7" s="682">
        <v>0.02</v>
      </c>
      <c r="AW7" s="682">
        <v>1.4999999999999999E-2</v>
      </c>
      <c r="AX7" s="682">
        <v>0.01</v>
      </c>
      <c r="AZ7" s="413" t="s">
        <v>1559</v>
      </c>
      <c r="BA7" s="579">
        <v>80</v>
      </c>
      <c r="BB7" s="579">
        <v>90</v>
      </c>
      <c r="BE7" t="s">
        <v>1849</v>
      </c>
      <c r="BF7" s="699" t="s">
        <v>1859</v>
      </c>
      <c r="BG7" s="699">
        <v>0.75</v>
      </c>
      <c r="BH7" s="699">
        <v>0.75</v>
      </c>
      <c r="BI7" s="699">
        <v>0.9</v>
      </c>
    </row>
    <row r="8" spans="2:61" x14ac:dyDescent="0.25">
      <c r="B8" s="337" t="s">
        <v>1002</v>
      </c>
      <c r="C8" s="336">
        <v>20</v>
      </c>
      <c r="D8" s="336"/>
      <c r="E8" s="415" t="s">
        <v>1475</v>
      </c>
      <c r="F8" s="336">
        <v>5</v>
      </c>
      <c r="H8" t="s">
        <v>1448</v>
      </c>
      <c r="I8" s="336">
        <v>5</v>
      </c>
      <c r="K8" s="422" t="s">
        <v>996</v>
      </c>
      <c r="L8" s="336">
        <v>7</v>
      </c>
      <c r="M8" s="336">
        <v>3</v>
      </c>
      <c r="N8" t="s">
        <v>1163</v>
      </c>
      <c r="O8">
        <v>1</v>
      </c>
      <c r="P8">
        <v>0</v>
      </c>
      <c r="Q8">
        <v>0</v>
      </c>
      <c r="S8" t="s">
        <v>1448</v>
      </c>
      <c r="T8" s="336">
        <v>7</v>
      </c>
      <c r="V8" t="s">
        <v>1449</v>
      </c>
      <c r="W8" s="336">
        <v>3</v>
      </c>
      <c r="Y8" s="469" t="s">
        <v>1547</v>
      </c>
      <c r="Z8" s="371">
        <v>-1</v>
      </c>
      <c r="AA8" s="413" t="s">
        <v>1565</v>
      </c>
      <c r="AB8" s="413" t="s">
        <v>1573</v>
      </c>
      <c r="AD8" s="473">
        <v>4</v>
      </c>
      <c r="AE8" s="477" t="s">
        <v>1578</v>
      </c>
      <c r="AF8" s="2" t="s">
        <v>1577</v>
      </c>
      <c r="AG8" s="476" t="s">
        <v>1576</v>
      </c>
      <c r="AI8" s="495" t="s">
        <v>1060</v>
      </c>
      <c r="AJ8" s="496">
        <v>1</v>
      </c>
      <c r="AK8" s="497" t="s">
        <v>1604</v>
      </c>
      <c r="AL8" s="498">
        <v>1</v>
      </c>
      <c r="AM8" s="498">
        <v>0</v>
      </c>
      <c r="AN8" s="498">
        <v>2</v>
      </c>
      <c r="AO8" s="498">
        <v>0</v>
      </c>
      <c r="AQ8" s="569" t="s">
        <v>1471</v>
      </c>
      <c r="AR8">
        <v>32</v>
      </c>
      <c r="AS8" t="s">
        <v>1163</v>
      </c>
      <c r="AT8">
        <v>160</v>
      </c>
      <c r="AU8">
        <v>15</v>
      </c>
      <c r="AV8" s="682">
        <v>0.03</v>
      </c>
      <c r="AW8" s="682">
        <v>2.5000000000000001E-2</v>
      </c>
      <c r="AX8" s="682">
        <v>0.02</v>
      </c>
      <c r="AZ8" s="413" t="s">
        <v>1547</v>
      </c>
      <c r="BA8" s="579">
        <v>80</v>
      </c>
      <c r="BB8" s="579">
        <v>90</v>
      </c>
      <c r="BE8" t="s">
        <v>1850</v>
      </c>
      <c r="BF8" s="699">
        <v>0.75</v>
      </c>
      <c r="BG8" s="699">
        <v>0.9</v>
      </c>
      <c r="BH8" s="699" t="s">
        <v>1859</v>
      </c>
      <c r="BI8" s="699" t="s">
        <v>1859</v>
      </c>
    </row>
    <row r="9" spans="2:61" x14ac:dyDescent="0.25">
      <c r="B9" s="337" t="s">
        <v>1048</v>
      </c>
      <c r="C9" s="336">
        <v>20</v>
      </c>
      <c r="D9" s="336"/>
      <c r="E9" s="414" t="s">
        <v>1458</v>
      </c>
      <c r="F9" s="336">
        <v>2</v>
      </c>
      <c r="H9" t="s">
        <v>1536</v>
      </c>
      <c r="I9" s="336">
        <v>4</v>
      </c>
      <c r="K9" s="430" t="s">
        <v>1099</v>
      </c>
      <c r="L9" s="336">
        <v>6</v>
      </c>
      <c r="M9" s="336">
        <v>3</v>
      </c>
      <c r="N9" t="s">
        <v>1163</v>
      </c>
      <c r="O9">
        <v>2</v>
      </c>
      <c r="P9">
        <v>0</v>
      </c>
      <c r="Q9">
        <v>0</v>
      </c>
      <c r="S9" t="s">
        <v>1536</v>
      </c>
      <c r="T9" s="336">
        <v>6</v>
      </c>
      <c r="V9" t="s">
        <v>1447</v>
      </c>
      <c r="W9" s="336">
        <v>3</v>
      </c>
      <c r="Y9" s="469" t="s">
        <v>1560</v>
      </c>
      <c r="Z9" s="371">
        <v>2</v>
      </c>
      <c r="AA9" s="413" t="s">
        <v>1565</v>
      </c>
      <c r="AB9" s="413" t="s">
        <v>1573</v>
      </c>
      <c r="AD9" s="472">
        <v>5</v>
      </c>
      <c r="AE9" s="477" t="s">
        <v>1578</v>
      </c>
      <c r="AF9" s="2" t="s">
        <v>1577</v>
      </c>
      <c r="AG9" s="476" t="s">
        <v>1576</v>
      </c>
      <c r="AI9" s="495" t="s">
        <v>1141</v>
      </c>
      <c r="AJ9" s="496">
        <v>1</v>
      </c>
      <c r="AK9" s="497" t="s">
        <v>1606</v>
      </c>
      <c r="AL9" s="498">
        <v>0</v>
      </c>
      <c r="AM9" s="498">
        <v>0</v>
      </c>
      <c r="AN9" s="498">
        <v>0</v>
      </c>
      <c r="AO9" s="498">
        <v>0</v>
      </c>
      <c r="AQ9" s="569" t="s">
        <v>1696</v>
      </c>
      <c r="AR9">
        <v>27</v>
      </c>
      <c r="AS9" t="s">
        <v>1163</v>
      </c>
      <c r="AT9">
        <v>140</v>
      </c>
      <c r="AU9">
        <v>15</v>
      </c>
      <c r="AV9" s="682">
        <v>3.5000000000000003E-2</v>
      </c>
      <c r="AW9" s="682">
        <v>0.03</v>
      </c>
      <c r="AX9" s="682">
        <v>2.5000000000000001E-2</v>
      </c>
      <c r="AZ9" s="413" t="s">
        <v>1560</v>
      </c>
      <c r="BA9" s="579">
        <v>90</v>
      </c>
      <c r="BB9" s="579">
        <v>100</v>
      </c>
      <c r="BE9" t="s">
        <v>1851</v>
      </c>
      <c r="BF9" s="699">
        <v>1</v>
      </c>
      <c r="BG9" s="699">
        <v>1</v>
      </c>
      <c r="BH9" s="699">
        <v>1</v>
      </c>
      <c r="BI9" s="699">
        <v>0.8</v>
      </c>
    </row>
    <row r="10" spans="2:61" x14ac:dyDescent="0.25">
      <c r="B10" s="337" t="s">
        <v>1481</v>
      </c>
      <c r="C10" s="336">
        <v>19</v>
      </c>
      <c r="D10" s="336"/>
      <c r="E10" s="449" t="s">
        <v>2016</v>
      </c>
      <c r="F10" s="336">
        <v>2</v>
      </c>
      <c r="H10" t="s">
        <v>1445</v>
      </c>
      <c r="I10" s="336">
        <v>3</v>
      </c>
      <c r="K10" s="422" t="s">
        <v>1194</v>
      </c>
      <c r="L10" s="336">
        <v>6</v>
      </c>
      <c r="M10" s="336">
        <v>3</v>
      </c>
      <c r="N10" t="s">
        <v>1163</v>
      </c>
      <c r="O10">
        <v>2</v>
      </c>
      <c r="P10">
        <v>0</v>
      </c>
      <c r="Q10">
        <v>0</v>
      </c>
      <c r="S10" t="s">
        <v>1445</v>
      </c>
      <c r="T10" s="336">
        <v>5</v>
      </c>
      <c r="V10" t="s">
        <v>1446</v>
      </c>
      <c r="W10" s="336">
        <v>3</v>
      </c>
      <c r="Y10" s="469" t="s">
        <v>1561</v>
      </c>
      <c r="Z10" s="371">
        <v>0</v>
      </c>
      <c r="AA10" s="413" t="s">
        <v>1565</v>
      </c>
      <c r="AB10" s="413" t="s">
        <v>1573</v>
      </c>
      <c r="AD10" s="473">
        <v>6</v>
      </c>
      <c r="AE10" s="477" t="s">
        <v>1578</v>
      </c>
      <c r="AF10" s="2" t="s">
        <v>1577</v>
      </c>
      <c r="AG10" s="476" t="s">
        <v>1576</v>
      </c>
      <c r="AI10" s="495" t="s">
        <v>1610</v>
      </c>
      <c r="AJ10" s="496">
        <v>1</v>
      </c>
      <c r="AK10" s="497" t="s">
        <v>1607</v>
      </c>
      <c r="AL10" s="498">
        <v>0</v>
      </c>
      <c r="AM10" s="498">
        <v>0</v>
      </c>
      <c r="AN10" s="498">
        <v>-1</v>
      </c>
      <c r="AO10" s="498">
        <v>0</v>
      </c>
      <c r="AQ10" s="423" t="s">
        <v>1689</v>
      </c>
      <c r="AR10">
        <v>22</v>
      </c>
      <c r="AS10" t="s">
        <v>1163</v>
      </c>
      <c r="AT10">
        <v>120</v>
      </c>
      <c r="AU10">
        <v>16</v>
      </c>
      <c r="AV10" s="682">
        <v>5.5E-2</v>
      </c>
      <c r="AW10" s="682">
        <v>4.4999999999999998E-2</v>
      </c>
      <c r="AX10" s="682">
        <v>3.5000000000000003E-2</v>
      </c>
      <c r="AZ10" s="413" t="s">
        <v>1561</v>
      </c>
      <c r="BA10" s="579">
        <v>90</v>
      </c>
      <c r="BB10" s="579">
        <v>100</v>
      </c>
      <c r="BE10" t="s">
        <v>1852</v>
      </c>
      <c r="BF10" s="699">
        <v>0.75</v>
      </c>
      <c r="BG10" s="699">
        <v>0.9</v>
      </c>
      <c r="BH10" s="699" t="s">
        <v>1859</v>
      </c>
      <c r="BI10" s="699" t="s">
        <v>1859</v>
      </c>
    </row>
    <row r="11" spans="2:61" x14ac:dyDescent="0.25">
      <c r="B11" s="337" t="s">
        <v>2325</v>
      </c>
      <c r="C11" s="336">
        <v>18</v>
      </c>
      <c r="D11" s="336"/>
      <c r="E11" s="415" t="s">
        <v>1503</v>
      </c>
      <c r="F11" s="336">
        <v>0</v>
      </c>
      <c r="H11" t="s">
        <v>1535</v>
      </c>
      <c r="I11" s="336">
        <v>2</v>
      </c>
      <c r="K11" s="422" t="s">
        <v>1443</v>
      </c>
      <c r="L11" s="336">
        <v>6</v>
      </c>
      <c r="M11" s="336">
        <v>3</v>
      </c>
      <c r="N11" t="s">
        <v>1163</v>
      </c>
      <c r="O11">
        <v>1</v>
      </c>
      <c r="P11">
        <v>0</v>
      </c>
      <c r="Q11">
        <v>0</v>
      </c>
      <c r="S11" t="s">
        <v>1535</v>
      </c>
      <c r="T11" s="336">
        <v>4</v>
      </c>
      <c r="V11" t="s">
        <v>1444</v>
      </c>
      <c r="W11" s="336">
        <v>1</v>
      </c>
      <c r="Y11" s="469" t="s">
        <v>1562</v>
      </c>
      <c r="Z11" s="371">
        <v>-1</v>
      </c>
      <c r="AA11" s="413" t="s">
        <v>1565</v>
      </c>
      <c r="AB11" s="413" t="s">
        <v>1573</v>
      </c>
      <c r="AD11" s="473">
        <v>7</v>
      </c>
      <c r="AE11" s="477" t="s">
        <v>1578</v>
      </c>
      <c r="AF11" s="2" t="s">
        <v>1577</v>
      </c>
      <c r="AG11" s="476" t="s">
        <v>1576</v>
      </c>
      <c r="AI11" s="495" t="s">
        <v>1611</v>
      </c>
      <c r="AJ11" s="496">
        <v>1</v>
      </c>
      <c r="AK11" s="497" t="s">
        <v>1608</v>
      </c>
      <c r="AL11" s="498">
        <v>-1</v>
      </c>
      <c r="AM11" s="498">
        <v>0</v>
      </c>
      <c r="AN11" s="498">
        <v>-2</v>
      </c>
      <c r="AO11" s="498">
        <v>0</v>
      </c>
      <c r="AQ11" s="423" t="s">
        <v>1469</v>
      </c>
      <c r="AR11">
        <v>21</v>
      </c>
      <c r="AS11" t="s">
        <v>1163</v>
      </c>
      <c r="AT11">
        <v>85</v>
      </c>
      <c r="AU11">
        <v>16</v>
      </c>
      <c r="AV11" s="682">
        <v>7.0000000000000007E-2</v>
      </c>
      <c r="AW11" s="682">
        <v>0.06</v>
      </c>
      <c r="AX11" s="682">
        <v>0.05</v>
      </c>
      <c r="AZ11" s="413" t="s">
        <v>1562</v>
      </c>
      <c r="BA11" s="579">
        <v>80</v>
      </c>
      <c r="BB11" s="579">
        <v>90</v>
      </c>
      <c r="BE11" t="s">
        <v>1853</v>
      </c>
      <c r="BF11" s="699">
        <v>0.5</v>
      </c>
      <c r="BG11" s="699">
        <v>1</v>
      </c>
      <c r="BH11" s="699" t="s">
        <v>1859</v>
      </c>
      <c r="BI11" s="699" t="s">
        <v>1859</v>
      </c>
    </row>
    <row r="12" spans="2:61" x14ac:dyDescent="0.25">
      <c r="B12" s="337" t="s">
        <v>1482</v>
      </c>
      <c r="C12" s="336">
        <v>18</v>
      </c>
      <c r="D12" s="336"/>
      <c r="E12" s="414" t="s">
        <v>985</v>
      </c>
      <c r="F12" s="336">
        <v>0</v>
      </c>
      <c r="H12" t="s">
        <v>1534</v>
      </c>
      <c r="I12" s="336">
        <v>1</v>
      </c>
      <c r="K12" s="423" t="s">
        <v>1442</v>
      </c>
      <c r="L12" s="336">
        <v>6</v>
      </c>
      <c r="M12" s="336">
        <v>6</v>
      </c>
      <c r="N12" t="s">
        <v>1163</v>
      </c>
      <c r="O12">
        <v>0</v>
      </c>
      <c r="P12">
        <v>0</v>
      </c>
      <c r="Q12">
        <v>0</v>
      </c>
      <c r="S12" t="s">
        <v>1534</v>
      </c>
      <c r="T12" s="336">
        <v>3</v>
      </c>
      <c r="Y12" s="469" t="s">
        <v>1570</v>
      </c>
      <c r="Z12" s="371">
        <v>2</v>
      </c>
      <c r="AA12" s="413" t="s">
        <v>1565</v>
      </c>
      <c r="AB12" s="413" t="s">
        <v>1573</v>
      </c>
      <c r="AD12" s="472">
        <v>8</v>
      </c>
      <c r="AE12" s="477" t="s">
        <v>1578</v>
      </c>
      <c r="AF12" s="2" t="s">
        <v>1577</v>
      </c>
      <c r="AG12" s="476" t="s">
        <v>1576</v>
      </c>
      <c r="AI12" s="495" t="s">
        <v>1612</v>
      </c>
      <c r="AJ12" s="496">
        <v>1</v>
      </c>
      <c r="AK12" s="497" t="s">
        <v>1609</v>
      </c>
      <c r="AL12" s="498">
        <v>-2</v>
      </c>
      <c r="AM12" s="498">
        <v>0</v>
      </c>
      <c r="AN12" s="498">
        <v>-4</v>
      </c>
      <c r="AO12" s="498">
        <v>-2</v>
      </c>
      <c r="AQ12" s="424" t="s">
        <v>1695</v>
      </c>
      <c r="AR12">
        <v>18</v>
      </c>
      <c r="AS12" t="s">
        <v>1163</v>
      </c>
      <c r="AT12">
        <v>45</v>
      </c>
      <c r="AU12">
        <v>2</v>
      </c>
      <c r="AV12" s="682">
        <v>6.5000000000000002E-2</v>
      </c>
      <c r="AW12" s="682">
        <v>5.5E-2</v>
      </c>
      <c r="AX12" s="682">
        <v>4.4999999999999998E-2</v>
      </c>
      <c r="AZ12" s="413" t="s">
        <v>1570</v>
      </c>
      <c r="BA12" s="579">
        <v>90</v>
      </c>
      <c r="BB12" s="579">
        <v>100</v>
      </c>
    </row>
    <row r="13" spans="2:61" x14ac:dyDescent="0.25">
      <c r="B13" s="337" t="s">
        <v>1215</v>
      </c>
      <c r="C13" s="336">
        <v>16</v>
      </c>
      <c r="D13" s="336"/>
      <c r="K13" s="425" t="s">
        <v>1036</v>
      </c>
      <c r="L13" s="336">
        <v>5</v>
      </c>
      <c r="M13" s="336">
        <v>3</v>
      </c>
      <c r="N13" t="s">
        <v>985</v>
      </c>
      <c r="O13">
        <v>0</v>
      </c>
      <c r="P13">
        <v>0</v>
      </c>
      <c r="Q13">
        <v>0</v>
      </c>
      <c r="S13" t="s">
        <v>1833</v>
      </c>
      <c r="T13" s="336">
        <v>2</v>
      </c>
      <c r="Y13" s="469" t="s">
        <v>1571</v>
      </c>
      <c r="Z13" s="371">
        <v>0</v>
      </c>
      <c r="AA13" s="413" t="s">
        <v>1565</v>
      </c>
      <c r="AB13" s="413" t="s">
        <v>1573</v>
      </c>
      <c r="AD13" s="473">
        <v>9</v>
      </c>
      <c r="AE13" s="477" t="s">
        <v>1578</v>
      </c>
      <c r="AF13" s="2" t="s">
        <v>1577</v>
      </c>
      <c r="AG13" s="2" t="s">
        <v>1577</v>
      </c>
      <c r="AI13" s="499" t="s">
        <v>1613</v>
      </c>
      <c r="AJ13" s="500">
        <v>2</v>
      </c>
      <c r="AK13" s="501" t="s">
        <v>1604</v>
      </c>
      <c r="AL13" s="502">
        <v>1</v>
      </c>
      <c r="AM13" s="502">
        <v>-1</v>
      </c>
      <c r="AN13" s="502">
        <v>2</v>
      </c>
      <c r="AO13" s="502">
        <v>1</v>
      </c>
      <c r="AQ13" s="423" t="s">
        <v>1831</v>
      </c>
      <c r="AR13">
        <v>18</v>
      </c>
      <c r="AS13" t="s">
        <v>1163</v>
      </c>
      <c r="AT13">
        <v>100</v>
      </c>
      <c r="AU13">
        <v>16</v>
      </c>
      <c r="AV13" s="682">
        <v>7.4999999999999997E-2</v>
      </c>
      <c r="AW13" s="682">
        <v>6.5000000000000002E-2</v>
      </c>
      <c r="AX13" s="682">
        <v>5.5E-2</v>
      </c>
      <c r="AZ13" s="413" t="s">
        <v>1571</v>
      </c>
      <c r="BA13" s="579">
        <v>90</v>
      </c>
      <c r="BB13" s="579">
        <v>100</v>
      </c>
    </row>
    <row r="14" spans="2:61" x14ac:dyDescent="0.25">
      <c r="B14" s="337" t="s">
        <v>1211</v>
      </c>
      <c r="C14" s="336">
        <v>15</v>
      </c>
      <c r="D14" s="336"/>
      <c r="K14" s="423" t="s">
        <v>1138</v>
      </c>
      <c r="L14" s="336">
        <v>5</v>
      </c>
      <c r="M14" s="336">
        <v>3</v>
      </c>
      <c r="N14" t="s">
        <v>1163</v>
      </c>
      <c r="O14">
        <v>0</v>
      </c>
      <c r="P14">
        <v>0</v>
      </c>
      <c r="Q14">
        <v>0</v>
      </c>
      <c r="Y14" s="470" t="s">
        <v>1572</v>
      </c>
      <c r="Z14" s="467">
        <v>-1</v>
      </c>
      <c r="AA14" s="413" t="s">
        <v>1565</v>
      </c>
      <c r="AB14" s="413" t="s">
        <v>1573</v>
      </c>
      <c r="AD14" s="472">
        <v>10</v>
      </c>
      <c r="AE14" s="477" t="s">
        <v>1578</v>
      </c>
      <c r="AF14" s="477" t="s">
        <v>1578</v>
      </c>
      <c r="AG14" s="477" t="s">
        <v>1578</v>
      </c>
      <c r="AI14" s="499" t="s">
        <v>1614</v>
      </c>
      <c r="AJ14" s="500">
        <v>2</v>
      </c>
      <c r="AK14" s="501" t="s">
        <v>1606</v>
      </c>
      <c r="AL14" s="502">
        <v>0</v>
      </c>
      <c r="AM14" s="502">
        <v>-1</v>
      </c>
      <c r="AN14" s="502">
        <v>0</v>
      </c>
      <c r="AO14" s="502">
        <v>1</v>
      </c>
      <c r="AQ14" s="426" t="s">
        <v>1694</v>
      </c>
      <c r="AS14" t="s">
        <v>1163</v>
      </c>
      <c r="AT14">
        <v>140</v>
      </c>
      <c r="AU14">
        <v>20</v>
      </c>
      <c r="AV14" s="682">
        <v>0.06</v>
      </c>
      <c r="AW14" s="682">
        <v>0.05</v>
      </c>
      <c r="AX14" s="682">
        <v>0.04</v>
      </c>
      <c r="AZ14" s="413" t="s">
        <v>1572</v>
      </c>
      <c r="BA14" s="579">
        <v>80</v>
      </c>
      <c r="BB14" s="579">
        <v>90</v>
      </c>
    </row>
    <row r="15" spans="2:61" x14ac:dyDescent="0.25">
      <c r="B15" s="337" t="s">
        <v>1158</v>
      </c>
      <c r="C15" s="336">
        <v>13</v>
      </c>
      <c r="D15" s="336"/>
      <c r="K15" s="423" t="s">
        <v>1063</v>
      </c>
      <c r="L15" s="336">
        <v>5</v>
      </c>
      <c r="M15" s="336">
        <v>8</v>
      </c>
      <c r="N15" t="s">
        <v>1163</v>
      </c>
      <c r="O15">
        <v>0</v>
      </c>
      <c r="P15">
        <v>0</v>
      </c>
      <c r="Q15">
        <v>0</v>
      </c>
      <c r="Y15" t="s">
        <v>1586</v>
      </c>
      <c r="Z15" s="467">
        <v>-1</v>
      </c>
      <c r="AA15" s="413" t="s">
        <v>1565</v>
      </c>
      <c r="AB15" t="s">
        <v>1587</v>
      </c>
      <c r="AI15" s="499" t="s">
        <v>1615</v>
      </c>
      <c r="AJ15" s="500">
        <v>2</v>
      </c>
      <c r="AK15" s="501" t="s">
        <v>1607</v>
      </c>
      <c r="AL15" s="502">
        <v>0</v>
      </c>
      <c r="AM15" s="502">
        <v>-1</v>
      </c>
      <c r="AN15" s="502">
        <v>-1</v>
      </c>
      <c r="AO15" s="502">
        <v>1</v>
      </c>
      <c r="AQ15" s="426" t="s">
        <v>1467</v>
      </c>
      <c r="AS15" t="s">
        <v>985</v>
      </c>
      <c r="AT15">
        <v>120</v>
      </c>
      <c r="AU15">
        <v>20</v>
      </c>
      <c r="AV15" s="682">
        <v>0.06</v>
      </c>
      <c r="AW15" s="682">
        <v>0.05</v>
      </c>
      <c r="AX15" s="682">
        <v>0.04</v>
      </c>
    </row>
    <row r="16" spans="2:61" x14ac:dyDescent="0.25">
      <c r="B16" s="337" t="s">
        <v>1477</v>
      </c>
      <c r="C16" s="336">
        <v>12</v>
      </c>
      <c r="D16" s="336"/>
      <c r="K16" s="423" t="s">
        <v>1664</v>
      </c>
      <c r="L16" s="336">
        <v>5</v>
      </c>
      <c r="M16" s="336">
        <v>8</v>
      </c>
      <c r="N16" t="s">
        <v>1163</v>
      </c>
      <c r="O16">
        <v>0</v>
      </c>
      <c r="P16">
        <v>0</v>
      </c>
      <c r="Q16">
        <v>0</v>
      </c>
      <c r="Y16" t="s">
        <v>1584</v>
      </c>
      <c r="Z16" s="467">
        <v>1</v>
      </c>
      <c r="AA16" s="413" t="s">
        <v>1565</v>
      </c>
      <c r="AB16" t="s">
        <v>1587</v>
      </c>
      <c r="AI16" s="499" t="s">
        <v>1616</v>
      </c>
      <c r="AJ16" s="500">
        <v>2</v>
      </c>
      <c r="AK16" s="501" t="s">
        <v>1608</v>
      </c>
      <c r="AL16" s="502">
        <v>-1</v>
      </c>
      <c r="AM16" s="502">
        <v>-1</v>
      </c>
      <c r="AN16" s="502">
        <v>-2</v>
      </c>
      <c r="AO16" s="502">
        <v>1</v>
      </c>
      <c r="AQ16" s="422" t="s">
        <v>1474</v>
      </c>
      <c r="AS16" t="s">
        <v>985</v>
      </c>
      <c r="AT16">
        <v>55</v>
      </c>
      <c r="AU16">
        <v>8</v>
      </c>
      <c r="AV16" s="682">
        <v>4.5999999999999999E-2</v>
      </c>
      <c r="AW16" s="682">
        <v>3.4000000000000002E-2</v>
      </c>
      <c r="AX16" s="682">
        <v>2.1999999999999999E-2</v>
      </c>
    </row>
    <row r="17" spans="2:54" x14ac:dyDescent="0.25">
      <c r="B17" s="370" t="s">
        <v>1483</v>
      </c>
      <c r="C17" s="369">
        <v>11</v>
      </c>
      <c r="D17" s="336"/>
      <c r="K17" s="423" t="s">
        <v>1550</v>
      </c>
      <c r="L17" s="336">
        <v>4</v>
      </c>
      <c r="M17" s="336">
        <v>3</v>
      </c>
      <c r="N17" t="s">
        <v>985</v>
      </c>
      <c r="O17">
        <v>2</v>
      </c>
      <c r="P17">
        <v>0</v>
      </c>
      <c r="Q17">
        <v>0</v>
      </c>
      <c r="Y17" t="s">
        <v>1585</v>
      </c>
      <c r="Z17" s="467">
        <v>0</v>
      </c>
      <c r="AA17" s="413" t="s">
        <v>1565</v>
      </c>
      <c r="AB17" t="s">
        <v>1587</v>
      </c>
      <c r="AI17" s="499" t="s">
        <v>1617</v>
      </c>
      <c r="AJ17" s="500">
        <v>2</v>
      </c>
      <c r="AK17" s="501" t="s">
        <v>1609</v>
      </c>
      <c r="AL17" s="502">
        <v>-2</v>
      </c>
      <c r="AM17" s="502">
        <v>0</v>
      </c>
      <c r="AN17" s="502">
        <v>-4</v>
      </c>
      <c r="AO17" s="502">
        <v>-2</v>
      </c>
      <c r="AQ17" s="568" t="s">
        <v>1687</v>
      </c>
      <c r="AS17" t="s">
        <v>985</v>
      </c>
      <c r="AT17">
        <v>160</v>
      </c>
      <c r="AU17">
        <v>30</v>
      </c>
      <c r="AV17" s="682">
        <v>7.0000000000000007E-2</v>
      </c>
      <c r="AW17" s="682">
        <v>0.05</v>
      </c>
      <c r="AX17" s="682">
        <v>0.03</v>
      </c>
    </row>
    <row r="18" spans="2:54" x14ac:dyDescent="0.25">
      <c r="B18" s="337" t="s">
        <v>1478</v>
      </c>
      <c r="C18" s="336">
        <v>11</v>
      </c>
      <c r="D18" s="336"/>
      <c r="K18" s="423" t="s">
        <v>1160</v>
      </c>
      <c r="L18" s="336">
        <v>4</v>
      </c>
      <c r="M18" s="336">
        <v>3</v>
      </c>
      <c r="N18" t="s">
        <v>985</v>
      </c>
      <c r="O18">
        <v>2</v>
      </c>
      <c r="P18">
        <v>0</v>
      </c>
      <c r="Q18">
        <v>0</v>
      </c>
      <c r="AI18" s="503" t="s">
        <v>1618</v>
      </c>
      <c r="AJ18" s="504">
        <v>3</v>
      </c>
      <c r="AK18" s="505" t="s">
        <v>1604</v>
      </c>
      <c r="AL18" s="506">
        <v>1</v>
      </c>
      <c r="AM18" s="506">
        <v>-2</v>
      </c>
      <c r="AN18" s="506">
        <v>2</v>
      </c>
      <c r="AO18" s="506">
        <v>2</v>
      </c>
      <c r="AQ18" s="424" t="s">
        <v>1468</v>
      </c>
      <c r="AS18" t="s">
        <v>985</v>
      </c>
      <c r="AT18">
        <v>30</v>
      </c>
      <c r="AU18">
        <v>8</v>
      </c>
      <c r="AV18" s="682">
        <v>0.08</v>
      </c>
      <c r="AW18" s="682">
        <v>7.4999999999999997E-2</v>
      </c>
      <c r="AX18" s="682">
        <v>7.0000000000000007E-2</v>
      </c>
    </row>
    <row r="19" spans="2:54" x14ac:dyDescent="0.25">
      <c r="B19" s="337" t="s">
        <v>1172</v>
      </c>
      <c r="C19" s="336">
        <v>10</v>
      </c>
      <c r="D19" s="336"/>
      <c r="K19" s="425" t="s">
        <v>1441</v>
      </c>
      <c r="L19" s="336">
        <v>4</v>
      </c>
      <c r="M19" s="336">
        <v>3</v>
      </c>
      <c r="N19" t="s">
        <v>985</v>
      </c>
      <c r="O19">
        <v>0</v>
      </c>
      <c r="P19">
        <v>0</v>
      </c>
      <c r="Q19">
        <v>0</v>
      </c>
      <c r="S19" t="s">
        <v>1839</v>
      </c>
      <c r="Y19" t="s">
        <v>1563</v>
      </c>
      <c r="Z19" t="s">
        <v>1459</v>
      </c>
      <c r="AA19" t="s">
        <v>1564</v>
      </c>
      <c r="AB19" t="s">
        <v>1567</v>
      </c>
      <c r="AI19" s="503" t="s">
        <v>1619</v>
      </c>
      <c r="AJ19" s="504">
        <v>3</v>
      </c>
      <c r="AK19" s="505" t="s">
        <v>1606</v>
      </c>
      <c r="AL19" s="506">
        <v>0</v>
      </c>
      <c r="AM19" s="506">
        <v>-2</v>
      </c>
      <c r="AN19" s="506">
        <v>0</v>
      </c>
      <c r="AO19" s="506">
        <v>2</v>
      </c>
      <c r="AQ19" s="668" t="s">
        <v>1473</v>
      </c>
      <c r="AR19" s="667"/>
      <c r="AS19" t="s">
        <v>985</v>
      </c>
      <c r="AT19">
        <v>55</v>
      </c>
      <c r="AU19" t="s">
        <v>1720</v>
      </c>
      <c r="AV19" s="682">
        <v>0.09</v>
      </c>
      <c r="AW19" s="682">
        <v>0.09</v>
      </c>
      <c r="AX19" s="682">
        <v>0.09</v>
      </c>
    </row>
    <row r="20" spans="2:54" x14ac:dyDescent="0.25">
      <c r="B20" s="337" t="s">
        <v>1202</v>
      </c>
      <c r="C20" s="336">
        <v>10</v>
      </c>
      <c r="D20" s="336"/>
      <c r="K20" s="425" t="s">
        <v>1440</v>
      </c>
      <c r="L20" s="336">
        <v>4</v>
      </c>
      <c r="M20" s="336">
        <v>3</v>
      </c>
      <c r="N20" t="s">
        <v>985</v>
      </c>
      <c r="O20">
        <v>0</v>
      </c>
      <c r="P20">
        <v>0</v>
      </c>
      <c r="Q20">
        <v>0</v>
      </c>
      <c r="S20" t="s">
        <v>1576</v>
      </c>
      <c r="Y20" t="s">
        <v>1546</v>
      </c>
      <c r="Z20">
        <v>1</v>
      </c>
      <c r="AA20" t="s">
        <v>1492</v>
      </c>
      <c r="AB20" s="413" t="s">
        <v>1573</v>
      </c>
      <c r="AI20" s="503" t="s">
        <v>1042</v>
      </c>
      <c r="AJ20" s="504">
        <v>3</v>
      </c>
      <c r="AK20" s="505" t="s">
        <v>1607</v>
      </c>
      <c r="AL20" s="506">
        <v>0</v>
      </c>
      <c r="AM20" s="506">
        <v>-2</v>
      </c>
      <c r="AN20" s="506">
        <v>-1</v>
      </c>
      <c r="AO20" s="506">
        <v>2</v>
      </c>
      <c r="AQ20" s="426" t="s">
        <v>1692</v>
      </c>
      <c r="AS20" t="s">
        <v>985</v>
      </c>
      <c r="AT20">
        <v>85</v>
      </c>
      <c r="AU20">
        <v>20</v>
      </c>
      <c r="AV20" s="682">
        <v>6.5000000000000002E-2</v>
      </c>
      <c r="AW20" s="682">
        <v>5.5E-2</v>
      </c>
      <c r="AX20" s="682">
        <v>4.4999999999999998E-2</v>
      </c>
    </row>
    <row r="21" spans="2:54" x14ac:dyDescent="0.25">
      <c r="B21" s="337" t="s">
        <v>1491</v>
      </c>
      <c r="C21" s="369">
        <v>9</v>
      </c>
      <c r="D21" s="336"/>
      <c r="K21" s="425" t="s">
        <v>1514</v>
      </c>
      <c r="L21" s="336">
        <v>4</v>
      </c>
      <c r="M21" s="336">
        <v>6</v>
      </c>
      <c r="N21" t="s">
        <v>985</v>
      </c>
      <c r="O21">
        <v>0</v>
      </c>
      <c r="P21">
        <v>0</v>
      </c>
      <c r="Q21">
        <v>0</v>
      </c>
      <c r="S21" t="s">
        <v>1840</v>
      </c>
      <c r="Y21" t="s">
        <v>1558</v>
      </c>
      <c r="Z21">
        <v>1</v>
      </c>
      <c r="AA21" t="s">
        <v>1492</v>
      </c>
      <c r="AB21" s="413" t="s">
        <v>1573</v>
      </c>
      <c r="AI21" s="503" t="s">
        <v>1091</v>
      </c>
      <c r="AJ21" s="504">
        <v>3</v>
      </c>
      <c r="AK21" s="505" t="s">
        <v>1608</v>
      </c>
      <c r="AL21" s="506">
        <v>-1</v>
      </c>
      <c r="AM21" s="506">
        <v>-2</v>
      </c>
      <c r="AN21" s="506">
        <v>-2</v>
      </c>
      <c r="AO21" s="506">
        <v>2</v>
      </c>
      <c r="AQ21" s="568" t="s">
        <v>1688</v>
      </c>
      <c r="AS21" t="s">
        <v>985</v>
      </c>
      <c r="AT21">
        <v>140</v>
      </c>
      <c r="AU21">
        <v>30</v>
      </c>
      <c r="AV21" s="682">
        <v>7.0000000000000007E-2</v>
      </c>
      <c r="AW21" s="682">
        <v>0.05</v>
      </c>
      <c r="AX21" s="682">
        <v>0.03</v>
      </c>
    </row>
    <row r="22" spans="2:54" x14ac:dyDescent="0.25">
      <c r="B22" s="337" t="s">
        <v>1027</v>
      </c>
      <c r="C22" s="336">
        <v>8</v>
      </c>
      <c r="D22" s="336"/>
      <c r="K22" s="431" t="s">
        <v>1512</v>
      </c>
      <c r="L22" s="336">
        <v>4</v>
      </c>
      <c r="M22" s="336">
        <v>6</v>
      </c>
      <c r="N22" t="s">
        <v>985</v>
      </c>
      <c r="O22">
        <v>0</v>
      </c>
      <c r="P22">
        <v>0</v>
      </c>
      <c r="Q22">
        <v>0</v>
      </c>
      <c r="S22" t="s">
        <v>1841</v>
      </c>
      <c r="Y22" t="s">
        <v>1448</v>
      </c>
      <c r="Z22">
        <v>0</v>
      </c>
      <c r="AA22" t="s">
        <v>1492</v>
      </c>
      <c r="AB22" s="413" t="s">
        <v>1573</v>
      </c>
      <c r="AI22" s="503" t="s">
        <v>1620</v>
      </c>
      <c r="AJ22" s="504">
        <v>3</v>
      </c>
      <c r="AK22" s="505" t="s">
        <v>1609</v>
      </c>
      <c r="AL22" s="506">
        <v>-2</v>
      </c>
      <c r="AM22" s="506">
        <v>0</v>
      </c>
      <c r="AN22" s="506">
        <v>-4</v>
      </c>
      <c r="AO22" s="506">
        <v>-2</v>
      </c>
      <c r="AQ22" s="424" t="s">
        <v>1693</v>
      </c>
      <c r="AS22" t="s">
        <v>985</v>
      </c>
      <c r="AT22">
        <v>30</v>
      </c>
      <c r="AU22">
        <v>8</v>
      </c>
      <c r="AV22" s="682">
        <v>0.08</v>
      </c>
      <c r="AW22" s="682">
        <v>7.4999999999999997E-2</v>
      </c>
      <c r="AX22" s="682">
        <v>7.0000000000000007E-2</v>
      </c>
    </row>
    <row r="23" spans="2:54" x14ac:dyDescent="0.25">
      <c r="B23" s="370" t="s">
        <v>1485</v>
      </c>
      <c r="C23" s="369">
        <v>7</v>
      </c>
      <c r="D23" s="336"/>
      <c r="K23" s="424" t="s">
        <v>1098</v>
      </c>
      <c r="L23" s="336">
        <v>3</v>
      </c>
      <c r="M23" s="336">
        <v>3</v>
      </c>
      <c r="N23" t="s">
        <v>985</v>
      </c>
      <c r="O23">
        <v>3</v>
      </c>
      <c r="P23">
        <v>0</v>
      </c>
      <c r="Q23">
        <v>0</v>
      </c>
      <c r="Y23" t="s">
        <v>1559</v>
      </c>
      <c r="Z23">
        <v>0</v>
      </c>
      <c r="AA23" t="s">
        <v>1492</v>
      </c>
      <c r="AB23" s="413" t="s">
        <v>1573</v>
      </c>
      <c r="AQ23" s="568" t="s">
        <v>1690</v>
      </c>
      <c r="AS23" t="s">
        <v>985</v>
      </c>
      <c r="AT23">
        <v>140</v>
      </c>
      <c r="AU23">
        <v>30</v>
      </c>
      <c r="AV23" s="682">
        <v>7.4999999999999997E-2</v>
      </c>
      <c r="AW23" s="682">
        <v>5.5E-2</v>
      </c>
      <c r="AX23" s="682">
        <v>3.5000000000000003E-2</v>
      </c>
      <c r="AZ23" s="413"/>
    </row>
    <row r="24" spans="2:54" x14ac:dyDescent="0.25">
      <c r="B24" s="337" t="s">
        <v>2825</v>
      </c>
      <c r="C24" s="336">
        <v>6</v>
      </c>
      <c r="D24" s="336"/>
      <c r="K24" s="424" t="s">
        <v>1513</v>
      </c>
      <c r="L24" s="336">
        <v>3</v>
      </c>
      <c r="M24" s="336">
        <v>3</v>
      </c>
      <c r="N24" t="s">
        <v>985</v>
      </c>
      <c r="O24">
        <v>3</v>
      </c>
      <c r="P24">
        <v>0</v>
      </c>
      <c r="Q24">
        <v>0</v>
      </c>
      <c r="S24" t="s">
        <v>1842</v>
      </c>
      <c r="Y24" t="s">
        <v>1547</v>
      </c>
      <c r="Z24">
        <v>-1</v>
      </c>
      <c r="AA24" t="s">
        <v>1492</v>
      </c>
      <c r="AB24" s="413" t="s">
        <v>1573</v>
      </c>
      <c r="AQ24" s="568" t="s">
        <v>1470</v>
      </c>
      <c r="AS24" t="s">
        <v>985</v>
      </c>
      <c r="AT24">
        <v>120</v>
      </c>
      <c r="AU24">
        <v>30</v>
      </c>
      <c r="AV24" s="682">
        <v>7.4999999999999997E-2</v>
      </c>
      <c r="AW24" s="682">
        <v>5.5E-2</v>
      </c>
      <c r="AX24" s="682">
        <v>3.5000000000000003E-2</v>
      </c>
    </row>
    <row r="25" spans="2:54" x14ac:dyDescent="0.25">
      <c r="B25" s="814" t="s">
        <v>2009</v>
      </c>
      <c r="C25" s="369">
        <v>5</v>
      </c>
      <c r="D25" s="336"/>
      <c r="K25" s="424" t="s">
        <v>1508</v>
      </c>
      <c r="L25" s="336">
        <v>3</v>
      </c>
      <c r="M25" s="336">
        <v>3</v>
      </c>
      <c r="N25" t="s">
        <v>985</v>
      </c>
      <c r="O25">
        <v>3</v>
      </c>
      <c r="P25">
        <v>0</v>
      </c>
      <c r="Q25">
        <v>0</v>
      </c>
      <c r="S25" t="s">
        <v>1843</v>
      </c>
      <c r="Y25" t="s">
        <v>1560</v>
      </c>
      <c r="Z25">
        <v>1</v>
      </c>
      <c r="AA25" t="s">
        <v>1492</v>
      </c>
      <c r="AB25" s="413" t="s">
        <v>1573</v>
      </c>
      <c r="AQ25" s="422" t="s">
        <v>1986</v>
      </c>
      <c r="AS25" t="s">
        <v>985</v>
      </c>
      <c r="AT25">
        <v>100</v>
      </c>
      <c r="AU25">
        <v>20</v>
      </c>
      <c r="AV25" s="682">
        <v>4.5999999999999999E-2</v>
      </c>
      <c r="AW25" s="682">
        <v>3.4000000000000002E-2</v>
      </c>
      <c r="AX25" s="682">
        <v>2.1999999999999999E-2</v>
      </c>
    </row>
    <row r="26" spans="2:54" x14ac:dyDescent="0.25">
      <c r="B26" s="814" t="s">
        <v>2008</v>
      </c>
      <c r="C26" s="369">
        <v>4</v>
      </c>
      <c r="D26" s="336"/>
      <c r="K26" s="424" t="s">
        <v>2309</v>
      </c>
      <c r="L26" s="336">
        <v>3</v>
      </c>
      <c r="M26" s="336">
        <v>3</v>
      </c>
      <c r="N26" t="s">
        <v>985</v>
      </c>
      <c r="O26">
        <v>3</v>
      </c>
      <c r="P26">
        <v>0</v>
      </c>
      <c r="Q26">
        <v>0</v>
      </c>
      <c r="S26" t="s">
        <v>1844</v>
      </c>
      <c r="Y26" t="s">
        <v>1561</v>
      </c>
      <c r="Z26">
        <v>0</v>
      </c>
      <c r="AA26" t="s">
        <v>1492</v>
      </c>
      <c r="AB26" s="413" t="s">
        <v>1573</v>
      </c>
      <c r="AQ26" s="422" t="s">
        <v>2000</v>
      </c>
      <c r="AS26" t="s">
        <v>985</v>
      </c>
      <c r="AT26">
        <v>55</v>
      </c>
      <c r="AU26">
        <v>8</v>
      </c>
      <c r="AV26" s="682">
        <v>4.5999999999999999E-2</v>
      </c>
      <c r="AW26" s="682">
        <v>3.4000000000000002E-2</v>
      </c>
      <c r="AX26" s="682">
        <v>2.1999999999999999E-2</v>
      </c>
      <c r="AZ26" t="s">
        <v>1725</v>
      </c>
      <c r="BA26" t="s">
        <v>1726</v>
      </c>
      <c r="BB26" t="s">
        <v>1727</v>
      </c>
    </row>
    <row r="27" spans="2:54" x14ac:dyDescent="0.25">
      <c r="B27" s="456" t="s">
        <v>1554</v>
      </c>
      <c r="C27" s="369">
        <v>3</v>
      </c>
      <c r="D27" s="336"/>
      <c r="K27" s="425" t="s">
        <v>1439</v>
      </c>
      <c r="L27" s="336">
        <v>3</v>
      </c>
      <c r="M27" s="336">
        <v>3</v>
      </c>
      <c r="N27" t="s">
        <v>1163</v>
      </c>
      <c r="O27">
        <v>0</v>
      </c>
      <c r="P27">
        <v>0</v>
      </c>
      <c r="Q27">
        <v>0</v>
      </c>
      <c r="Y27" t="s">
        <v>1562</v>
      </c>
      <c r="Z27">
        <v>-1</v>
      </c>
      <c r="AA27" t="s">
        <v>1492</v>
      </c>
      <c r="AB27" s="413" t="s">
        <v>1573</v>
      </c>
      <c r="AZ27" s="413" t="s">
        <v>1546</v>
      </c>
      <c r="BA27" s="579">
        <v>36</v>
      </c>
      <c r="BB27" s="579">
        <v>40</v>
      </c>
    </row>
    <row r="28" spans="2:54" x14ac:dyDescent="0.25">
      <c r="B28" s="337" t="s">
        <v>1488</v>
      </c>
      <c r="C28" s="336">
        <v>3</v>
      </c>
      <c r="D28" s="336"/>
      <c r="K28" s="425" t="s">
        <v>1438</v>
      </c>
      <c r="L28" s="336">
        <v>3</v>
      </c>
      <c r="M28" s="336">
        <v>3</v>
      </c>
      <c r="N28" t="s">
        <v>1163</v>
      </c>
      <c r="O28">
        <v>0</v>
      </c>
      <c r="P28">
        <v>0</v>
      </c>
      <c r="Q28">
        <v>0</v>
      </c>
      <c r="Y28" t="s">
        <v>1570</v>
      </c>
      <c r="Z28">
        <v>1</v>
      </c>
      <c r="AA28" t="s">
        <v>1492</v>
      </c>
      <c r="AB28" s="413" t="s">
        <v>1573</v>
      </c>
      <c r="AZ28" s="413" t="s">
        <v>1558</v>
      </c>
      <c r="BA28" s="579">
        <v>36</v>
      </c>
      <c r="BB28" s="579">
        <v>40</v>
      </c>
    </row>
    <row r="29" spans="2:54" x14ac:dyDescent="0.25">
      <c r="B29" s="368" t="s">
        <v>1484</v>
      </c>
      <c r="C29" s="369">
        <v>3</v>
      </c>
      <c r="D29" s="336"/>
      <c r="K29" s="425" t="s">
        <v>1143</v>
      </c>
      <c r="L29" s="336">
        <v>3</v>
      </c>
      <c r="M29" s="336">
        <v>3</v>
      </c>
      <c r="N29" t="s">
        <v>985</v>
      </c>
      <c r="O29">
        <v>0</v>
      </c>
      <c r="P29">
        <v>0</v>
      </c>
      <c r="Q29">
        <v>0</v>
      </c>
      <c r="Y29" t="s">
        <v>1571</v>
      </c>
      <c r="Z29">
        <v>0</v>
      </c>
      <c r="AA29" t="s">
        <v>1492</v>
      </c>
      <c r="AB29" s="413" t="s">
        <v>1573</v>
      </c>
      <c r="AZ29" s="413" t="s">
        <v>1448</v>
      </c>
      <c r="BA29" s="579">
        <v>28</v>
      </c>
      <c r="BB29" s="579">
        <v>32</v>
      </c>
    </row>
    <row r="30" spans="2:54" x14ac:dyDescent="0.25">
      <c r="B30" s="337" t="s">
        <v>1479</v>
      </c>
      <c r="C30" s="371">
        <v>3</v>
      </c>
      <c r="K30" s="431" t="s">
        <v>1438</v>
      </c>
      <c r="L30" s="336">
        <v>3</v>
      </c>
      <c r="M30" s="336">
        <v>3</v>
      </c>
      <c r="N30" t="s">
        <v>1163</v>
      </c>
      <c r="O30">
        <v>0</v>
      </c>
      <c r="P30">
        <v>0</v>
      </c>
      <c r="Q30">
        <v>0</v>
      </c>
      <c r="Y30" t="s">
        <v>1572</v>
      </c>
      <c r="Z30">
        <v>-1</v>
      </c>
      <c r="AA30" t="s">
        <v>1492</v>
      </c>
      <c r="AB30" s="413" t="s">
        <v>1573</v>
      </c>
      <c r="AZ30" s="413" t="s">
        <v>1559</v>
      </c>
      <c r="BA30" s="579">
        <v>28</v>
      </c>
      <c r="BB30" s="579">
        <v>32</v>
      </c>
    </row>
    <row r="31" spans="2:54" x14ac:dyDescent="0.25">
      <c r="B31" s="814" t="s">
        <v>1991</v>
      </c>
      <c r="C31" s="369">
        <v>3</v>
      </c>
      <c r="K31" s="431" t="s">
        <v>1103</v>
      </c>
      <c r="L31" s="336">
        <v>3</v>
      </c>
      <c r="M31" s="336">
        <v>3</v>
      </c>
      <c r="N31" t="s">
        <v>1163</v>
      </c>
      <c r="O31">
        <v>0</v>
      </c>
      <c r="P31">
        <v>0</v>
      </c>
      <c r="Q31">
        <v>0</v>
      </c>
      <c r="Y31" t="s">
        <v>1585</v>
      </c>
      <c r="Z31">
        <v>1</v>
      </c>
      <c r="AA31" t="s">
        <v>1492</v>
      </c>
      <c r="AB31" t="s">
        <v>1587</v>
      </c>
      <c r="AZ31" s="413" t="s">
        <v>1547</v>
      </c>
      <c r="BA31" s="579">
        <v>20</v>
      </c>
      <c r="BB31" s="579">
        <v>24</v>
      </c>
    </row>
    <row r="32" spans="2:54" x14ac:dyDescent="0.25">
      <c r="B32" s="337" t="s">
        <v>991</v>
      </c>
      <c r="C32" s="336">
        <v>2</v>
      </c>
      <c r="K32" s="431" t="s">
        <v>1509</v>
      </c>
      <c r="L32" s="336">
        <v>3</v>
      </c>
      <c r="M32" s="336">
        <v>3</v>
      </c>
      <c r="N32" t="s">
        <v>1163</v>
      </c>
      <c r="O32">
        <v>0</v>
      </c>
      <c r="P32">
        <v>0</v>
      </c>
      <c r="Q32">
        <v>0</v>
      </c>
      <c r="Y32" t="s">
        <v>1586</v>
      </c>
      <c r="Z32">
        <v>1</v>
      </c>
      <c r="AA32" t="s">
        <v>1492</v>
      </c>
      <c r="AB32" t="s">
        <v>1587</v>
      </c>
      <c r="AQ32" t="s">
        <v>1826</v>
      </c>
      <c r="AZ32" s="413" t="s">
        <v>1570</v>
      </c>
      <c r="BA32" s="579">
        <v>36</v>
      </c>
      <c r="BB32" s="579">
        <v>40</v>
      </c>
    </row>
    <row r="33" spans="2:54" x14ac:dyDescent="0.25">
      <c r="B33" s="337" t="s">
        <v>1437</v>
      </c>
      <c r="C33" s="336">
        <v>2</v>
      </c>
      <c r="H33" t="s">
        <v>1539</v>
      </c>
      <c r="K33" s="431" t="s">
        <v>1510</v>
      </c>
      <c r="L33" s="336">
        <v>3</v>
      </c>
      <c r="M33" s="336">
        <v>3</v>
      </c>
      <c r="N33" t="s">
        <v>1163</v>
      </c>
      <c r="O33">
        <v>0</v>
      </c>
      <c r="P33">
        <v>0</v>
      </c>
      <c r="Q33">
        <v>0</v>
      </c>
      <c r="Y33" t="s">
        <v>1584</v>
      </c>
      <c r="Z33">
        <v>-1</v>
      </c>
      <c r="AA33" t="s">
        <v>1492</v>
      </c>
      <c r="AB33" t="s">
        <v>1587</v>
      </c>
      <c r="AQ33" t="s">
        <v>1827</v>
      </c>
      <c r="AZ33" s="413" t="s">
        <v>1571</v>
      </c>
      <c r="BA33" s="579">
        <v>28</v>
      </c>
      <c r="BB33" s="579">
        <v>32</v>
      </c>
    </row>
    <row r="34" spans="2:54" x14ac:dyDescent="0.25">
      <c r="B34" s="337" t="s">
        <v>1436</v>
      </c>
      <c r="C34" s="336">
        <v>1</v>
      </c>
      <c r="H34" t="s">
        <v>1455</v>
      </c>
      <c r="K34" s="431" t="s">
        <v>1476</v>
      </c>
      <c r="L34" s="336">
        <v>3</v>
      </c>
      <c r="M34" s="336">
        <v>3</v>
      </c>
      <c r="N34" t="s">
        <v>1163</v>
      </c>
      <c r="O34">
        <v>0</v>
      </c>
      <c r="P34">
        <v>0</v>
      </c>
      <c r="Q34">
        <v>0</v>
      </c>
      <c r="AQ34" t="s">
        <v>1828</v>
      </c>
      <c r="AZ34" s="413" t="s">
        <v>1572</v>
      </c>
      <c r="BA34" s="579">
        <v>20</v>
      </c>
      <c r="BB34" s="579">
        <v>24</v>
      </c>
    </row>
    <row r="35" spans="2:54" x14ac:dyDescent="0.25">
      <c r="B35" s="337" t="s">
        <v>1155</v>
      </c>
      <c r="C35" s="371">
        <v>1</v>
      </c>
      <c r="H35" t="s">
        <v>1538</v>
      </c>
      <c r="K35" s="431" t="s">
        <v>1511</v>
      </c>
      <c r="L35" s="336">
        <v>3</v>
      </c>
      <c r="M35" s="336">
        <v>3</v>
      </c>
      <c r="N35" t="s">
        <v>1163</v>
      </c>
      <c r="O35">
        <v>0</v>
      </c>
      <c r="P35">
        <v>0</v>
      </c>
      <c r="Q35">
        <v>0</v>
      </c>
    </row>
    <row r="36" spans="2:54" x14ac:dyDescent="0.25">
      <c r="B36" s="337" t="s">
        <v>1480</v>
      </c>
      <c r="C36" s="371">
        <v>1</v>
      </c>
      <c r="H36" t="s">
        <v>1451</v>
      </c>
      <c r="K36" s="429" t="s">
        <v>1127</v>
      </c>
      <c r="L36" s="336">
        <v>3</v>
      </c>
      <c r="M36" s="336">
        <v>3</v>
      </c>
      <c r="N36" t="s">
        <v>1163</v>
      </c>
      <c r="O36">
        <v>0</v>
      </c>
      <c r="P36">
        <v>0</v>
      </c>
      <c r="Q36">
        <v>0</v>
      </c>
    </row>
    <row r="37" spans="2:54" x14ac:dyDescent="0.25">
      <c r="B37" s="337" t="s">
        <v>1552</v>
      </c>
      <c r="C37" s="369">
        <v>1</v>
      </c>
      <c r="E37" s="415" t="s">
        <v>1458</v>
      </c>
      <c r="F37" t="s">
        <v>1920</v>
      </c>
      <c r="H37" t="s">
        <v>1537</v>
      </c>
      <c r="K37" s="429" t="s">
        <v>2003</v>
      </c>
      <c r="L37" s="336">
        <v>3</v>
      </c>
      <c r="M37" s="336">
        <v>5</v>
      </c>
      <c r="N37" t="s">
        <v>985</v>
      </c>
      <c r="Y37" s="478"/>
      <c r="Z37" s="479"/>
      <c r="AA37" s="479"/>
      <c r="AB37" s="480"/>
    </row>
    <row r="38" spans="2:54" x14ac:dyDescent="0.25">
      <c r="B38" s="337" t="s">
        <v>1553</v>
      </c>
      <c r="C38" s="369">
        <v>1</v>
      </c>
      <c r="E38" s="415" t="s">
        <v>1505</v>
      </c>
      <c r="F38" t="s">
        <v>1915</v>
      </c>
      <c r="H38" t="s">
        <v>1448</v>
      </c>
      <c r="K38" s="429" t="s">
        <v>2007</v>
      </c>
      <c r="L38" s="336">
        <v>3</v>
      </c>
      <c r="M38" s="336">
        <v>5</v>
      </c>
      <c r="N38" t="s">
        <v>985</v>
      </c>
    </row>
    <row r="39" spans="2:54" x14ac:dyDescent="0.25">
      <c r="B39" s="337" t="s">
        <v>985</v>
      </c>
      <c r="C39" s="371">
        <v>1</v>
      </c>
      <c r="E39" s="415" t="s">
        <v>1504</v>
      </c>
      <c r="F39" t="s">
        <v>1918</v>
      </c>
      <c r="H39" t="s">
        <v>1536</v>
      </c>
      <c r="K39" s="424" t="s">
        <v>1095</v>
      </c>
      <c r="L39" s="336">
        <v>2</v>
      </c>
      <c r="M39" s="336">
        <v>3</v>
      </c>
      <c r="N39" t="s">
        <v>985</v>
      </c>
      <c r="O39">
        <v>3</v>
      </c>
      <c r="P39">
        <v>0</v>
      </c>
      <c r="Q39">
        <v>0</v>
      </c>
    </row>
    <row r="40" spans="2:54" x14ac:dyDescent="0.25">
      <c r="B40" s="337" t="s">
        <v>1434</v>
      </c>
      <c r="C40" s="371">
        <v>1</v>
      </c>
      <c r="E40" s="449" t="s">
        <v>985</v>
      </c>
      <c r="F40" t="s">
        <v>1917</v>
      </c>
      <c r="H40" t="s">
        <v>1445</v>
      </c>
      <c r="K40" s="424" t="s">
        <v>1059</v>
      </c>
      <c r="L40" s="336">
        <v>2</v>
      </c>
      <c r="M40" s="336">
        <v>3</v>
      </c>
      <c r="N40" t="s">
        <v>985</v>
      </c>
      <c r="O40">
        <v>2</v>
      </c>
      <c r="P40">
        <v>0</v>
      </c>
      <c r="Q40">
        <v>0</v>
      </c>
    </row>
    <row r="41" spans="2:54" ht="15" customHeight="1" x14ac:dyDescent="0.25">
      <c r="B41" s="370" t="s">
        <v>1033</v>
      </c>
      <c r="C41" s="372">
        <v>1</v>
      </c>
      <c r="E41" s="415" t="s">
        <v>1453</v>
      </c>
      <c r="F41" t="s">
        <v>1919</v>
      </c>
      <c r="H41" t="s">
        <v>1535</v>
      </c>
      <c r="K41" s="424" t="s">
        <v>2105</v>
      </c>
      <c r="L41" s="336">
        <v>2</v>
      </c>
      <c r="M41" s="336">
        <v>10</v>
      </c>
      <c r="N41" t="s">
        <v>1163</v>
      </c>
      <c r="O41">
        <v>0</v>
      </c>
      <c r="P41">
        <v>0</v>
      </c>
      <c r="Q41">
        <v>0</v>
      </c>
    </row>
    <row r="42" spans="2:54" x14ac:dyDescent="0.25">
      <c r="B42" s="814" t="s">
        <v>2004</v>
      </c>
      <c r="C42" s="369">
        <v>1</v>
      </c>
      <c r="E42" s="413" t="s">
        <v>1596</v>
      </c>
      <c r="F42" t="s">
        <v>1921</v>
      </c>
      <c r="H42" t="s">
        <v>1534</v>
      </c>
      <c r="K42" s="424" t="s">
        <v>1528</v>
      </c>
      <c r="L42" s="336">
        <v>2</v>
      </c>
      <c r="M42" s="336">
        <v>6</v>
      </c>
      <c r="N42" t="s">
        <v>1163</v>
      </c>
      <c r="O42">
        <v>0</v>
      </c>
      <c r="P42">
        <v>0</v>
      </c>
      <c r="Q42">
        <v>0</v>
      </c>
    </row>
    <row r="43" spans="2:54" x14ac:dyDescent="0.25">
      <c r="B43" s="337" t="s">
        <v>2005</v>
      </c>
      <c r="C43" s="369">
        <v>1</v>
      </c>
      <c r="E43" s="415" t="s">
        <v>1475</v>
      </c>
      <c r="F43" t="s">
        <v>1922</v>
      </c>
      <c r="K43" s="425" t="s">
        <v>1020</v>
      </c>
      <c r="L43" s="336">
        <v>2</v>
      </c>
      <c r="M43" s="336">
        <v>3</v>
      </c>
      <c r="N43" t="s">
        <v>1163</v>
      </c>
      <c r="O43">
        <v>0</v>
      </c>
      <c r="P43">
        <v>0</v>
      </c>
      <c r="Q43">
        <v>0</v>
      </c>
    </row>
    <row r="44" spans="2:54" x14ac:dyDescent="0.25">
      <c r="E44" s="415" t="s">
        <v>944</v>
      </c>
      <c r="F44" t="s">
        <v>1923</v>
      </c>
      <c r="K44" s="424" t="s">
        <v>1472</v>
      </c>
      <c r="L44" s="336">
        <v>2</v>
      </c>
      <c r="M44" s="336">
        <v>12</v>
      </c>
      <c r="N44" t="s">
        <v>1163</v>
      </c>
      <c r="O44">
        <v>0</v>
      </c>
      <c r="P44">
        <v>0</v>
      </c>
      <c r="Q44">
        <v>0</v>
      </c>
    </row>
    <row r="45" spans="2:54" x14ac:dyDescent="0.25">
      <c r="E45" s="414" t="s">
        <v>1503</v>
      </c>
      <c r="F45" t="s">
        <v>1924</v>
      </c>
      <c r="K45" s="507" t="s">
        <v>1025</v>
      </c>
      <c r="L45" s="336">
        <v>2</v>
      </c>
      <c r="M45" s="336">
        <v>1</v>
      </c>
      <c r="N45" t="s">
        <v>985</v>
      </c>
      <c r="O45">
        <v>2</v>
      </c>
      <c r="P45">
        <v>0</v>
      </c>
      <c r="Q45">
        <v>0</v>
      </c>
    </row>
    <row r="46" spans="2:54" x14ac:dyDescent="0.25">
      <c r="E46" s="413" t="s">
        <v>2016</v>
      </c>
      <c r="F46" t="s">
        <v>2017</v>
      </c>
      <c r="K46" s="425" t="s">
        <v>2006</v>
      </c>
      <c r="L46" s="336">
        <v>2</v>
      </c>
      <c r="M46" s="336">
        <v>3</v>
      </c>
      <c r="N46" t="s">
        <v>985</v>
      </c>
    </row>
    <row r="47" spans="2:54" x14ac:dyDescent="0.25">
      <c r="E47" s="413"/>
      <c r="K47" s="426" t="s">
        <v>994</v>
      </c>
      <c r="L47" s="336">
        <v>1</v>
      </c>
      <c r="M47" s="336">
        <v>1</v>
      </c>
      <c r="N47" t="s">
        <v>985</v>
      </c>
      <c r="O47">
        <v>2</v>
      </c>
      <c r="P47">
        <v>-2</v>
      </c>
      <c r="Q47">
        <v>-2</v>
      </c>
    </row>
    <row r="48" spans="2:54" x14ac:dyDescent="0.25">
      <c r="E48" s="413"/>
      <c r="K48" s="425" t="s">
        <v>1021</v>
      </c>
      <c r="L48" s="336">
        <v>1</v>
      </c>
      <c r="M48" s="336">
        <v>1</v>
      </c>
      <c r="N48" t="s">
        <v>985</v>
      </c>
      <c r="O48">
        <v>0</v>
      </c>
      <c r="P48">
        <v>0</v>
      </c>
      <c r="Q48">
        <v>0</v>
      </c>
    </row>
    <row r="49" spans="2:17" x14ac:dyDescent="0.25">
      <c r="E49" s="413"/>
      <c r="K49" s="425" t="s">
        <v>1435</v>
      </c>
      <c r="L49" s="336">
        <v>1</v>
      </c>
      <c r="M49" s="336">
        <v>1</v>
      </c>
      <c r="N49" t="s">
        <v>985</v>
      </c>
      <c r="O49">
        <v>0</v>
      </c>
      <c r="P49">
        <v>0</v>
      </c>
      <c r="Q49">
        <v>0</v>
      </c>
    </row>
    <row r="50" spans="2:17" x14ac:dyDescent="0.25">
      <c r="E50" s="413"/>
      <c r="K50" s="431" t="s">
        <v>1507</v>
      </c>
      <c r="L50" s="336">
        <v>1</v>
      </c>
      <c r="M50" s="336">
        <v>1</v>
      </c>
      <c r="N50" t="s">
        <v>985</v>
      </c>
      <c r="O50">
        <v>0</v>
      </c>
      <c r="P50">
        <v>0</v>
      </c>
      <c r="Q50">
        <v>0</v>
      </c>
    </row>
    <row r="51" spans="2:17" x14ac:dyDescent="0.25">
      <c r="E51" s="413"/>
      <c r="K51" s="423" t="s">
        <v>1090</v>
      </c>
      <c r="L51" s="336">
        <v>1</v>
      </c>
      <c r="M51" s="336">
        <v>1</v>
      </c>
      <c r="N51" t="s">
        <v>985</v>
      </c>
      <c r="O51">
        <v>0</v>
      </c>
      <c r="P51">
        <v>0</v>
      </c>
      <c r="Q51">
        <v>0</v>
      </c>
    </row>
    <row r="52" spans="2:17" x14ac:dyDescent="0.25">
      <c r="E52" s="413"/>
      <c r="K52" s="429" t="s">
        <v>1128</v>
      </c>
      <c r="L52" s="336">
        <v>1</v>
      </c>
      <c r="M52" s="336">
        <v>1</v>
      </c>
      <c r="N52" t="s">
        <v>985</v>
      </c>
      <c r="O52">
        <v>0</v>
      </c>
      <c r="P52">
        <v>0</v>
      </c>
      <c r="Q52">
        <v>0</v>
      </c>
    </row>
    <row r="53" spans="2:17" x14ac:dyDescent="0.25">
      <c r="E53" s="413"/>
      <c r="K53" s="423" t="s">
        <v>1579</v>
      </c>
      <c r="L53" s="336">
        <v>1</v>
      </c>
      <c r="M53" s="336">
        <v>1</v>
      </c>
      <c r="N53" t="s">
        <v>985</v>
      </c>
      <c r="O53">
        <v>0</v>
      </c>
      <c r="P53">
        <v>0</v>
      </c>
      <c r="Q53">
        <v>0</v>
      </c>
    </row>
    <row r="54" spans="2:17" x14ac:dyDescent="0.25">
      <c r="E54" s="413"/>
      <c r="K54" s="424" t="s">
        <v>2002</v>
      </c>
      <c r="L54" s="336">
        <v>1</v>
      </c>
      <c r="M54" s="336">
        <v>3</v>
      </c>
      <c r="N54" t="s">
        <v>985</v>
      </c>
    </row>
    <row r="55" spans="2:17" x14ac:dyDescent="0.25">
      <c r="F55" s="413" t="s">
        <v>1546</v>
      </c>
      <c r="K55" s="425" t="s">
        <v>2001</v>
      </c>
      <c r="L55" s="336">
        <v>1</v>
      </c>
      <c r="M55" s="336">
        <v>3</v>
      </c>
      <c r="N55" t="s">
        <v>985</v>
      </c>
    </row>
    <row r="56" spans="2:17" ht="21" x14ac:dyDescent="0.35">
      <c r="B56" s="447" t="s">
        <v>1437</v>
      </c>
      <c r="C56" s="335" t="s">
        <v>1913</v>
      </c>
      <c r="D56" s="335" t="s">
        <v>1545</v>
      </c>
      <c r="F56" s="413" t="s">
        <v>1558</v>
      </c>
      <c r="K56" s="426" t="s">
        <v>1864</v>
      </c>
      <c r="L56" s="702">
        <v>0.5</v>
      </c>
      <c r="M56" s="336">
        <v>1</v>
      </c>
      <c r="N56" t="s">
        <v>985</v>
      </c>
      <c r="O56">
        <v>2</v>
      </c>
      <c r="P56">
        <v>0</v>
      </c>
      <c r="Q56">
        <v>0</v>
      </c>
    </row>
    <row r="57" spans="2:17" x14ac:dyDescent="0.25">
      <c r="B57" s="403" t="s">
        <v>1486</v>
      </c>
      <c r="C57" s="335" t="s">
        <v>1913</v>
      </c>
      <c r="D57" s="335" t="s">
        <v>1548</v>
      </c>
      <c r="F57" s="413" t="s">
        <v>1448</v>
      </c>
      <c r="K57" s="493" t="s">
        <v>1467</v>
      </c>
      <c r="M57">
        <v>1</v>
      </c>
      <c r="N57" t="s">
        <v>985</v>
      </c>
      <c r="O57">
        <v>0</v>
      </c>
      <c r="P57">
        <v>0</v>
      </c>
      <c r="Q57">
        <v>0</v>
      </c>
    </row>
    <row r="58" spans="2:17" x14ac:dyDescent="0.25">
      <c r="B58" s="403" t="s">
        <v>1491</v>
      </c>
      <c r="C58" s="335" t="s">
        <v>2428</v>
      </c>
      <c r="D58" s="335" t="s">
        <v>1556</v>
      </c>
      <c r="F58" s="413" t="s">
        <v>1559</v>
      </c>
      <c r="K58" s="493" t="s">
        <v>1694</v>
      </c>
      <c r="M58">
        <v>1</v>
      </c>
      <c r="N58" t="s">
        <v>1163</v>
      </c>
      <c r="O58">
        <v>0</v>
      </c>
      <c r="P58">
        <v>0</v>
      </c>
      <c r="Q58">
        <v>0</v>
      </c>
    </row>
    <row r="59" spans="2:17" x14ac:dyDescent="0.25">
      <c r="B59" s="403" t="s">
        <v>1483</v>
      </c>
      <c r="C59" s="335" t="s">
        <v>2429</v>
      </c>
      <c r="D59" s="335" t="s">
        <v>1555</v>
      </c>
      <c r="F59" s="413" t="s">
        <v>1547</v>
      </c>
      <c r="K59" s="493" t="s">
        <v>1469</v>
      </c>
      <c r="M59">
        <v>1</v>
      </c>
      <c r="O59">
        <v>0</v>
      </c>
      <c r="P59">
        <v>0</v>
      </c>
      <c r="Q59">
        <v>0</v>
      </c>
    </row>
    <row r="60" spans="2:17" x14ac:dyDescent="0.25">
      <c r="B60" s="403" t="s">
        <v>1436</v>
      </c>
      <c r="C60" s="335" t="s">
        <v>1913</v>
      </c>
      <c r="F60" s="413" t="s">
        <v>1560</v>
      </c>
      <c r="K60" s="493" t="s">
        <v>1689</v>
      </c>
      <c r="M60">
        <v>1</v>
      </c>
      <c r="O60">
        <v>0</v>
      </c>
      <c r="P60">
        <v>0</v>
      </c>
      <c r="Q60">
        <v>0</v>
      </c>
    </row>
    <row r="61" spans="2:17" x14ac:dyDescent="0.25">
      <c r="B61" s="403" t="s">
        <v>1488</v>
      </c>
      <c r="C61" s="335" t="s">
        <v>1913</v>
      </c>
      <c r="F61" s="413" t="s">
        <v>1561</v>
      </c>
      <c r="K61" s="493" t="s">
        <v>1473</v>
      </c>
      <c r="L61" s="667"/>
      <c r="M61">
        <v>1</v>
      </c>
      <c r="O61">
        <v>0</v>
      </c>
      <c r="P61">
        <v>0</v>
      </c>
      <c r="Q61">
        <v>0</v>
      </c>
    </row>
    <row r="62" spans="2:17" x14ac:dyDescent="0.25">
      <c r="B62" s="403" t="s">
        <v>1075</v>
      </c>
      <c r="C62" s="335" t="s">
        <v>1982</v>
      </c>
      <c r="F62" s="413" t="s">
        <v>1562</v>
      </c>
      <c r="K62" s="493" t="s">
        <v>1686</v>
      </c>
      <c r="L62" s="667"/>
      <c r="M62">
        <v>1</v>
      </c>
      <c r="O62">
        <v>0</v>
      </c>
      <c r="P62">
        <v>0</v>
      </c>
      <c r="Q62">
        <v>0</v>
      </c>
    </row>
    <row r="63" spans="2:17" x14ac:dyDescent="0.25">
      <c r="B63" s="403" t="s">
        <v>1164</v>
      </c>
      <c r="C63" s="335" t="s">
        <v>2694</v>
      </c>
      <c r="E63" s="413"/>
      <c r="F63" s="413" t="s">
        <v>1570</v>
      </c>
      <c r="K63" s="493" t="s">
        <v>1691</v>
      </c>
      <c r="L63" s="667"/>
      <c r="M63">
        <v>1</v>
      </c>
      <c r="O63">
        <v>0</v>
      </c>
      <c r="P63">
        <v>0</v>
      </c>
      <c r="Q63">
        <v>0</v>
      </c>
    </row>
    <row r="64" spans="2:17" x14ac:dyDescent="0.25">
      <c r="B64" s="403" t="s">
        <v>1437</v>
      </c>
      <c r="C64" s="335" t="s">
        <v>1913</v>
      </c>
      <c r="E64" s="413"/>
      <c r="F64" s="413" t="s">
        <v>1571</v>
      </c>
      <c r="K64" s="493" t="s">
        <v>1474</v>
      </c>
      <c r="M64">
        <v>1</v>
      </c>
      <c r="O64">
        <v>0</v>
      </c>
      <c r="P64">
        <v>0</v>
      </c>
      <c r="Q64">
        <v>0</v>
      </c>
    </row>
    <row r="65" spans="2:17" x14ac:dyDescent="0.25">
      <c r="B65" s="403" t="s">
        <v>1158</v>
      </c>
      <c r="C65" s="335" t="s">
        <v>1962</v>
      </c>
      <c r="E65" s="413"/>
      <c r="F65" s="413" t="s">
        <v>1572</v>
      </c>
      <c r="K65" s="493" t="s">
        <v>2357</v>
      </c>
      <c r="L65" s="667"/>
      <c r="M65">
        <v>1</v>
      </c>
      <c r="O65">
        <v>0</v>
      </c>
      <c r="P65">
        <v>0</v>
      </c>
      <c r="Q65">
        <v>0</v>
      </c>
    </row>
    <row r="66" spans="2:17" x14ac:dyDescent="0.25">
      <c r="B66" s="403" t="s">
        <v>1211</v>
      </c>
      <c r="C66" s="335" t="s">
        <v>1963</v>
      </c>
      <c r="E66" s="413"/>
      <c r="K66" s="493" t="s">
        <v>1470</v>
      </c>
      <c r="M66">
        <v>1</v>
      </c>
      <c r="O66">
        <v>0</v>
      </c>
      <c r="P66">
        <v>0</v>
      </c>
      <c r="Q66">
        <v>0</v>
      </c>
    </row>
    <row r="67" spans="2:17" x14ac:dyDescent="0.25">
      <c r="B67" s="404" t="s">
        <v>1215</v>
      </c>
      <c r="C67" s="335" t="s">
        <v>1977</v>
      </c>
      <c r="E67" s="413"/>
      <c r="K67" s="493" t="s">
        <v>1688</v>
      </c>
      <c r="M67">
        <v>1</v>
      </c>
      <c r="O67">
        <v>0</v>
      </c>
      <c r="P67">
        <v>0</v>
      </c>
      <c r="Q67">
        <v>0</v>
      </c>
    </row>
    <row r="68" spans="2:17" x14ac:dyDescent="0.25">
      <c r="B68" s="403" t="s">
        <v>1481</v>
      </c>
      <c r="C68" s="335" t="s">
        <v>1978</v>
      </c>
      <c r="E68" s="413"/>
      <c r="K68" s="493" t="s">
        <v>1687</v>
      </c>
      <c r="M68">
        <v>1</v>
      </c>
      <c r="O68">
        <v>0</v>
      </c>
      <c r="P68">
        <v>0</v>
      </c>
      <c r="Q68">
        <v>0</v>
      </c>
    </row>
    <row r="69" spans="2:17" x14ac:dyDescent="0.25">
      <c r="B69" s="403" t="s">
        <v>1482</v>
      </c>
      <c r="C69" s="335" t="s">
        <v>1975</v>
      </c>
      <c r="E69" s="413"/>
      <c r="K69" s="493" t="s">
        <v>1690</v>
      </c>
      <c r="M69">
        <v>1</v>
      </c>
      <c r="O69">
        <v>0</v>
      </c>
      <c r="P69">
        <v>0</v>
      </c>
      <c r="Q69">
        <v>0</v>
      </c>
    </row>
    <row r="70" spans="2:17" x14ac:dyDescent="0.25">
      <c r="B70" s="403" t="s">
        <v>1027</v>
      </c>
      <c r="C70" s="335" t="s">
        <v>1979</v>
      </c>
      <c r="E70" s="413"/>
      <c r="K70" s="493" t="s">
        <v>1471</v>
      </c>
      <c r="M70">
        <v>1</v>
      </c>
      <c r="O70">
        <v>0</v>
      </c>
      <c r="P70">
        <v>0</v>
      </c>
      <c r="Q70">
        <v>0</v>
      </c>
    </row>
    <row r="71" spans="2:17" x14ac:dyDescent="0.25">
      <c r="B71" s="403" t="s">
        <v>1202</v>
      </c>
      <c r="C71" s="335" t="s">
        <v>1980</v>
      </c>
      <c r="E71" s="413"/>
      <c r="K71" s="493" t="s">
        <v>1696</v>
      </c>
      <c r="M71">
        <v>1</v>
      </c>
      <c r="O71">
        <v>0</v>
      </c>
      <c r="P71">
        <v>0</v>
      </c>
      <c r="Q71">
        <v>0</v>
      </c>
    </row>
    <row r="72" spans="2:17" x14ac:dyDescent="0.25">
      <c r="B72" s="403" t="s">
        <v>1478</v>
      </c>
      <c r="C72" s="335" t="s">
        <v>1981</v>
      </c>
      <c r="E72" s="413"/>
      <c r="K72" s="493" t="s">
        <v>1698</v>
      </c>
      <c r="M72">
        <v>1</v>
      </c>
      <c r="O72">
        <v>0</v>
      </c>
      <c r="P72">
        <v>0</v>
      </c>
      <c r="Q72">
        <v>0</v>
      </c>
    </row>
    <row r="73" spans="2:17" x14ac:dyDescent="0.25">
      <c r="B73" s="335" t="s">
        <v>1155</v>
      </c>
      <c r="C73" s="335" t="s">
        <v>1913</v>
      </c>
      <c r="E73" s="413"/>
      <c r="K73" s="493" t="s">
        <v>1685</v>
      </c>
      <c r="L73" s="667"/>
      <c r="M73">
        <v>1</v>
      </c>
      <c r="O73">
        <v>0</v>
      </c>
      <c r="P73">
        <v>0</v>
      </c>
      <c r="Q73">
        <v>0</v>
      </c>
    </row>
    <row r="74" spans="2:17" x14ac:dyDescent="0.25">
      <c r="B74" s="403" t="s">
        <v>1484</v>
      </c>
      <c r="C74" s="335" t="s">
        <v>1913</v>
      </c>
      <c r="E74" s="413"/>
      <c r="K74" s="493" t="s">
        <v>1468</v>
      </c>
      <c r="M74">
        <v>1</v>
      </c>
      <c r="O74">
        <v>0</v>
      </c>
      <c r="P74">
        <v>0</v>
      </c>
      <c r="Q74">
        <v>0</v>
      </c>
    </row>
    <row r="75" spans="2:17" x14ac:dyDescent="0.25">
      <c r="B75" s="403" t="s">
        <v>1004</v>
      </c>
      <c r="C75" s="335" t="s">
        <v>1952</v>
      </c>
      <c r="E75" s="413"/>
      <c r="K75" s="493" t="s">
        <v>1693</v>
      </c>
      <c r="M75">
        <v>1</v>
      </c>
      <c r="O75">
        <v>0</v>
      </c>
      <c r="P75">
        <v>0</v>
      </c>
      <c r="Q75">
        <v>0</v>
      </c>
    </row>
    <row r="76" spans="2:17" x14ac:dyDescent="0.25">
      <c r="B76" s="403" t="s">
        <v>1005</v>
      </c>
      <c r="C76" s="335" t="s">
        <v>2031</v>
      </c>
      <c r="E76" s="413"/>
      <c r="K76" s="493" t="s">
        <v>1950</v>
      </c>
      <c r="M76">
        <v>1</v>
      </c>
      <c r="O76">
        <v>0</v>
      </c>
      <c r="P76">
        <v>0</v>
      </c>
      <c r="Q76">
        <v>0</v>
      </c>
    </row>
    <row r="77" spans="2:17" x14ac:dyDescent="0.25">
      <c r="B77" s="335" t="s">
        <v>1480</v>
      </c>
      <c r="C77" s="335" t="s">
        <v>1976</v>
      </c>
      <c r="E77" s="413"/>
      <c r="K77" s="493" t="s">
        <v>1683</v>
      </c>
      <c r="M77">
        <v>1</v>
      </c>
      <c r="O77">
        <v>0</v>
      </c>
      <c r="P77">
        <v>0</v>
      </c>
      <c r="Q77">
        <v>0</v>
      </c>
    </row>
    <row r="78" spans="2:17" x14ac:dyDescent="0.25">
      <c r="B78" s="335" t="s">
        <v>985</v>
      </c>
      <c r="C78" s="335" t="s">
        <v>1917</v>
      </c>
      <c r="E78" s="413"/>
      <c r="K78" s="557" t="s">
        <v>1055</v>
      </c>
      <c r="L78" s="336"/>
      <c r="M78">
        <v>1</v>
      </c>
      <c r="O78">
        <v>0</v>
      </c>
      <c r="P78">
        <v>0</v>
      </c>
      <c r="Q78">
        <v>0</v>
      </c>
    </row>
    <row r="79" spans="2:17" x14ac:dyDescent="0.25">
      <c r="B79" s="455" t="s">
        <v>1554</v>
      </c>
      <c r="C79" s="335" t="s">
        <v>1913</v>
      </c>
      <c r="E79" s="413"/>
      <c r="K79" s="558" t="s">
        <v>985</v>
      </c>
      <c r="L79" s="559"/>
      <c r="M79" s="559">
        <v>1</v>
      </c>
      <c r="N79" s="560"/>
      <c r="O79" s="560">
        <v>0</v>
      </c>
      <c r="P79" s="560">
        <v>0</v>
      </c>
      <c r="Q79" s="560">
        <v>0</v>
      </c>
    </row>
    <row r="80" spans="2:17" x14ac:dyDescent="0.25">
      <c r="B80" s="403" t="s">
        <v>1002</v>
      </c>
      <c r="C80" s="335" t="s">
        <v>2025</v>
      </c>
      <c r="E80" s="413"/>
      <c r="K80" s="557" t="s">
        <v>2000</v>
      </c>
      <c r="L80" s="336"/>
      <c r="M80" s="336">
        <v>1</v>
      </c>
    </row>
    <row r="81" spans="2:13" x14ac:dyDescent="0.25">
      <c r="B81" s="869" t="s">
        <v>2325</v>
      </c>
      <c r="C81" s="335" t="s">
        <v>2324</v>
      </c>
      <c r="E81" s="413"/>
      <c r="K81" s="557" t="s">
        <v>1986</v>
      </c>
      <c r="L81" s="336"/>
      <c r="M81" s="336">
        <v>1</v>
      </c>
    </row>
    <row r="82" spans="2:13" x14ac:dyDescent="0.25">
      <c r="B82" s="335" t="s">
        <v>1479</v>
      </c>
      <c r="C82" s="335" t="s">
        <v>1974</v>
      </c>
      <c r="E82" s="413"/>
      <c r="K82" s="1034" t="s">
        <v>2136</v>
      </c>
      <c r="L82" s="336"/>
      <c r="M82" s="336">
        <v>1</v>
      </c>
    </row>
    <row r="83" spans="2:13" x14ac:dyDescent="0.25">
      <c r="B83" s="946" t="s">
        <v>2825</v>
      </c>
      <c r="C83" s="335" t="s">
        <v>2816</v>
      </c>
      <c r="E83" s="413"/>
    </row>
    <row r="84" spans="2:13" x14ac:dyDescent="0.25">
      <c r="B84" s="403" t="s">
        <v>1485</v>
      </c>
      <c r="C84" s="335" t="s">
        <v>2815</v>
      </c>
      <c r="E84" s="413"/>
    </row>
    <row r="85" spans="2:13" x14ac:dyDescent="0.25">
      <c r="B85" s="335" t="s">
        <v>1033</v>
      </c>
      <c r="C85" s="335" t="s">
        <v>1913</v>
      </c>
      <c r="E85" s="413"/>
    </row>
    <row r="86" spans="2:13" x14ac:dyDescent="0.25">
      <c r="B86" s="403" t="s">
        <v>1048</v>
      </c>
      <c r="C86" s="335" t="s">
        <v>1953</v>
      </c>
      <c r="E86" s="413"/>
    </row>
    <row r="87" spans="2:13" x14ac:dyDescent="0.25">
      <c r="B87" s="457" t="s">
        <v>1552</v>
      </c>
      <c r="C87" s="335" t="s">
        <v>1913</v>
      </c>
      <c r="E87" s="413"/>
    </row>
    <row r="88" spans="2:13" x14ac:dyDescent="0.25">
      <c r="B88" s="403" t="s">
        <v>1553</v>
      </c>
      <c r="C88" s="335" t="s">
        <v>1913</v>
      </c>
      <c r="E88" s="413"/>
    </row>
    <row r="89" spans="2:13" x14ac:dyDescent="0.25">
      <c r="B89" s="335" t="s">
        <v>1434</v>
      </c>
      <c r="C89" s="335" t="s">
        <v>1913</v>
      </c>
      <c r="E89" s="413"/>
    </row>
    <row r="90" spans="2:13" x14ac:dyDescent="0.25">
      <c r="B90" s="403" t="s">
        <v>991</v>
      </c>
      <c r="C90" s="335" t="s">
        <v>1951</v>
      </c>
      <c r="E90" s="413"/>
    </row>
    <row r="91" spans="2:13" x14ac:dyDescent="0.25">
      <c r="B91" s="458" t="s">
        <v>1172</v>
      </c>
      <c r="C91" s="335" t="s">
        <v>2322</v>
      </c>
      <c r="E91" s="413"/>
    </row>
    <row r="92" spans="2:13" x14ac:dyDescent="0.25">
      <c r="B92" s="458" t="s">
        <v>1477</v>
      </c>
      <c r="C92" s="335" t="s">
        <v>2323</v>
      </c>
      <c r="E92" s="413"/>
    </row>
    <row r="93" spans="2:13" x14ac:dyDescent="0.25">
      <c r="B93" s="810" t="s">
        <v>1991</v>
      </c>
      <c r="C93" s="335" t="s">
        <v>1913</v>
      </c>
    </row>
    <row r="94" spans="2:13" x14ac:dyDescent="0.25">
      <c r="B94" s="810" t="s">
        <v>2008</v>
      </c>
      <c r="C94" s="335" t="s">
        <v>1913</v>
      </c>
    </row>
    <row r="95" spans="2:13" x14ac:dyDescent="0.25">
      <c r="B95" s="810" t="s">
        <v>2004</v>
      </c>
      <c r="C95" s="335" t="s">
        <v>1913</v>
      </c>
    </row>
    <row r="96" spans="2:13" x14ac:dyDescent="0.25">
      <c r="B96" t="s">
        <v>2005</v>
      </c>
      <c r="C96" s="335" t="s">
        <v>1913</v>
      </c>
    </row>
    <row r="97" spans="2:12" x14ac:dyDescent="0.25">
      <c r="B97" s="810" t="s">
        <v>2009</v>
      </c>
      <c r="C97" s="335" t="s">
        <v>1913</v>
      </c>
    </row>
    <row r="98" spans="2:12" x14ac:dyDescent="0.25">
      <c r="B98"/>
    </row>
    <row r="99" spans="2:12" x14ac:dyDescent="0.25">
      <c r="B99"/>
      <c r="K99" s="428" t="s">
        <v>996</v>
      </c>
      <c r="L99" t="s">
        <v>1973</v>
      </c>
    </row>
    <row r="100" spans="2:12" x14ac:dyDescent="0.25">
      <c r="B100"/>
      <c r="K100" s="428" t="s">
        <v>1138</v>
      </c>
      <c r="L100" t="s">
        <v>2075</v>
      </c>
    </row>
    <row r="101" spans="2:12" x14ac:dyDescent="0.25">
      <c r="B101"/>
      <c r="K101" s="428" t="s">
        <v>1095</v>
      </c>
      <c r="L101" t="s">
        <v>1914</v>
      </c>
    </row>
    <row r="102" spans="2:12" x14ac:dyDescent="0.25">
      <c r="B102"/>
      <c r="K102" s="428" t="s">
        <v>1099</v>
      </c>
      <c r="L102" t="s">
        <v>2714</v>
      </c>
    </row>
    <row r="103" spans="2:12" x14ac:dyDescent="0.25">
      <c r="B103"/>
      <c r="K103" s="428" t="s">
        <v>1127</v>
      </c>
      <c r="L103" t="s">
        <v>1913</v>
      </c>
    </row>
    <row r="104" spans="2:12" x14ac:dyDescent="0.25">
      <c r="B104"/>
      <c r="K104" s="428" t="s">
        <v>1439</v>
      </c>
      <c r="L104" t="s">
        <v>2042</v>
      </c>
    </row>
    <row r="105" spans="2:12" x14ac:dyDescent="0.25">
      <c r="B105"/>
      <c r="K105" s="428" t="s">
        <v>1128</v>
      </c>
      <c r="L105" t="s">
        <v>2509</v>
      </c>
    </row>
    <row r="106" spans="2:12" x14ac:dyDescent="0.25">
      <c r="B106"/>
      <c r="K106" s="428" t="s">
        <v>1194</v>
      </c>
      <c r="L106" t="s">
        <v>2447</v>
      </c>
    </row>
    <row r="107" spans="2:12" x14ac:dyDescent="0.25">
      <c r="B107"/>
      <c r="K107" s="428" t="s">
        <v>1443</v>
      </c>
      <c r="L107" t="s">
        <v>1913</v>
      </c>
    </row>
    <row r="108" spans="2:12" x14ac:dyDescent="0.25">
      <c r="B108"/>
      <c r="K108" s="428" t="s">
        <v>1472</v>
      </c>
      <c r="L108" t="s">
        <v>1928</v>
      </c>
    </row>
    <row r="109" spans="2:12" x14ac:dyDescent="0.25">
      <c r="B109"/>
      <c r="K109" s="428" t="s">
        <v>1063</v>
      </c>
      <c r="L109" t="s">
        <v>1926</v>
      </c>
    </row>
    <row r="110" spans="2:12" x14ac:dyDescent="0.25">
      <c r="B110"/>
      <c r="K110" s="428" t="s">
        <v>1156</v>
      </c>
      <c r="L110" t="s">
        <v>1927</v>
      </c>
    </row>
    <row r="111" spans="2:12" x14ac:dyDescent="0.25">
      <c r="B111"/>
      <c r="K111" s="428" t="s">
        <v>987</v>
      </c>
      <c r="L111" t="s">
        <v>1925</v>
      </c>
    </row>
    <row r="112" spans="2:12" x14ac:dyDescent="0.25">
      <c r="B112"/>
      <c r="K112" s="428" t="s">
        <v>1021</v>
      </c>
      <c r="L112" t="s">
        <v>2082</v>
      </c>
    </row>
    <row r="113" spans="2:12" x14ac:dyDescent="0.25">
      <c r="B113"/>
      <c r="K113" s="1035" t="s">
        <v>2105</v>
      </c>
      <c r="L113" t="s">
        <v>2024</v>
      </c>
    </row>
    <row r="114" spans="2:12" x14ac:dyDescent="0.25">
      <c r="B114"/>
      <c r="K114" s="428" t="s">
        <v>1507</v>
      </c>
      <c r="L114" t="s">
        <v>2077</v>
      </c>
    </row>
    <row r="115" spans="2:12" x14ac:dyDescent="0.25">
      <c r="B115"/>
      <c r="K115" s="427" t="s">
        <v>1664</v>
      </c>
      <c r="L115" t="s">
        <v>1913</v>
      </c>
    </row>
    <row r="116" spans="2:12" x14ac:dyDescent="0.25">
      <c r="B116"/>
      <c r="K116" s="428" t="s">
        <v>1438</v>
      </c>
      <c r="L116" t="s">
        <v>2037</v>
      </c>
    </row>
    <row r="117" spans="2:12" x14ac:dyDescent="0.25">
      <c r="B117"/>
      <c r="K117" s="428" t="s">
        <v>1152</v>
      </c>
      <c r="L117" t="s">
        <v>1913</v>
      </c>
    </row>
    <row r="118" spans="2:12" x14ac:dyDescent="0.25">
      <c r="B118"/>
      <c r="K118" s="428" t="s">
        <v>1514</v>
      </c>
      <c r="L118" t="s">
        <v>2435</v>
      </c>
    </row>
    <row r="119" spans="2:12" x14ac:dyDescent="0.25">
      <c r="B119"/>
      <c r="K119" s="428" t="s">
        <v>1059</v>
      </c>
      <c r="L119" t="s">
        <v>1913</v>
      </c>
    </row>
    <row r="120" spans="2:12" x14ac:dyDescent="0.25">
      <c r="B120"/>
      <c r="K120" s="428" t="s">
        <v>1528</v>
      </c>
      <c r="L120" t="s">
        <v>2023</v>
      </c>
    </row>
    <row r="121" spans="2:12" x14ac:dyDescent="0.25">
      <c r="B121"/>
      <c r="K121" s="428" t="s">
        <v>1090</v>
      </c>
      <c r="L121" t="s">
        <v>1913</v>
      </c>
    </row>
    <row r="122" spans="2:12" x14ac:dyDescent="0.25">
      <c r="B122"/>
      <c r="K122" s="428" t="s">
        <v>1036</v>
      </c>
      <c r="L122" t="s">
        <v>1929</v>
      </c>
    </row>
    <row r="123" spans="2:12" x14ac:dyDescent="0.25">
      <c r="B123"/>
      <c r="K123" s="428" t="s">
        <v>1160</v>
      </c>
      <c r="L123" t="s">
        <v>1913</v>
      </c>
    </row>
    <row r="124" spans="2:12" x14ac:dyDescent="0.25">
      <c r="B124"/>
      <c r="K124" s="448" t="s">
        <v>985</v>
      </c>
      <c r="L124" t="s">
        <v>1917</v>
      </c>
    </row>
    <row r="125" spans="2:12" x14ac:dyDescent="0.25">
      <c r="B125"/>
      <c r="K125" s="428" t="s">
        <v>1435</v>
      </c>
      <c r="L125" t="s">
        <v>1930</v>
      </c>
    </row>
    <row r="126" spans="2:12" x14ac:dyDescent="0.25">
      <c r="B126"/>
      <c r="K126" s="428" t="s">
        <v>1103</v>
      </c>
      <c r="L126" t="s">
        <v>1935</v>
      </c>
    </row>
    <row r="127" spans="2:12" x14ac:dyDescent="0.25">
      <c r="B127"/>
      <c r="K127" s="428" t="s">
        <v>994</v>
      </c>
      <c r="L127" t="s">
        <v>1932</v>
      </c>
    </row>
    <row r="128" spans="2:12" x14ac:dyDescent="0.25">
      <c r="B128"/>
      <c r="K128" s="700" t="s">
        <v>1864</v>
      </c>
      <c r="L128" t="s">
        <v>1933</v>
      </c>
    </row>
    <row r="129" spans="2:12" x14ac:dyDescent="0.25">
      <c r="B129"/>
      <c r="K129" s="428" t="s">
        <v>1442</v>
      </c>
      <c r="L129" t="s">
        <v>2307</v>
      </c>
    </row>
    <row r="130" spans="2:12" x14ac:dyDescent="0.25">
      <c r="B130"/>
      <c r="K130" s="428" t="s">
        <v>1098</v>
      </c>
      <c r="L130" t="s">
        <v>2711</v>
      </c>
    </row>
    <row r="131" spans="2:12" x14ac:dyDescent="0.25">
      <c r="B131"/>
      <c r="K131" s="427" t="s">
        <v>1579</v>
      </c>
      <c r="L131" t="s">
        <v>1913</v>
      </c>
    </row>
    <row r="132" spans="2:12" x14ac:dyDescent="0.25">
      <c r="B132"/>
      <c r="K132" s="428" t="s">
        <v>1513</v>
      </c>
      <c r="L132" t="s">
        <v>2541</v>
      </c>
    </row>
    <row r="133" spans="2:12" x14ac:dyDescent="0.25">
      <c r="B133"/>
      <c r="K133" s="428" t="s">
        <v>1508</v>
      </c>
      <c r="L133" t="s">
        <v>2810</v>
      </c>
    </row>
    <row r="134" spans="2:12" x14ac:dyDescent="0.25">
      <c r="B134"/>
      <c r="K134" s="428" t="s">
        <v>1441</v>
      </c>
      <c r="L134" t="s">
        <v>1934</v>
      </c>
    </row>
    <row r="135" spans="2:12" x14ac:dyDescent="0.25">
      <c r="B135"/>
      <c r="K135" s="428" t="s">
        <v>1509</v>
      </c>
      <c r="L135" t="s">
        <v>1931</v>
      </c>
    </row>
    <row r="136" spans="2:12" x14ac:dyDescent="0.25">
      <c r="B136"/>
      <c r="K136" s="427" t="s">
        <v>1550</v>
      </c>
      <c r="L136" t="s">
        <v>2814</v>
      </c>
    </row>
    <row r="137" spans="2:12" x14ac:dyDescent="0.25">
      <c r="B137"/>
      <c r="K137" s="428" t="s">
        <v>1510</v>
      </c>
      <c r="L137" t="s">
        <v>1913</v>
      </c>
    </row>
    <row r="138" spans="2:12" x14ac:dyDescent="0.25">
      <c r="B138"/>
      <c r="K138" s="428" t="s">
        <v>1020</v>
      </c>
      <c r="L138" t="s">
        <v>1916</v>
      </c>
    </row>
    <row r="139" spans="2:12" x14ac:dyDescent="0.25">
      <c r="B139"/>
      <c r="K139" s="428" t="s">
        <v>1208</v>
      </c>
      <c r="L139" t="s">
        <v>1936</v>
      </c>
    </row>
    <row r="140" spans="2:12" x14ac:dyDescent="0.25">
      <c r="B140"/>
      <c r="K140" s="428" t="s">
        <v>1476</v>
      </c>
      <c r="L140" t="s">
        <v>1913</v>
      </c>
    </row>
    <row r="141" spans="2:12" x14ac:dyDescent="0.25">
      <c r="B141"/>
      <c r="K141" s="428" t="s">
        <v>1511</v>
      </c>
      <c r="L141" t="s">
        <v>2839</v>
      </c>
    </row>
    <row r="142" spans="2:12" x14ac:dyDescent="0.25">
      <c r="B142"/>
      <c r="K142" s="428" t="s">
        <v>1440</v>
      </c>
      <c r="L142" t="s">
        <v>2020</v>
      </c>
    </row>
    <row r="143" spans="2:12" x14ac:dyDescent="0.25">
      <c r="B143"/>
      <c r="K143" s="844" t="s">
        <v>2309</v>
      </c>
      <c r="L143" t="s">
        <v>2310</v>
      </c>
    </row>
    <row r="144" spans="2:12" x14ac:dyDescent="0.25">
      <c r="B144"/>
      <c r="K144" s="428" t="s">
        <v>1512</v>
      </c>
      <c r="L144" t="s">
        <v>2047</v>
      </c>
    </row>
    <row r="145" spans="2:12" x14ac:dyDescent="0.25">
      <c r="B145"/>
      <c r="K145" s="428" t="s">
        <v>1143</v>
      </c>
      <c r="L145" t="s">
        <v>2410</v>
      </c>
    </row>
    <row r="146" spans="2:12" x14ac:dyDescent="0.25">
      <c r="B146"/>
      <c r="K146" s="421" t="s">
        <v>1467</v>
      </c>
      <c r="L146" t="s">
        <v>1937</v>
      </c>
    </row>
    <row r="147" spans="2:12" x14ac:dyDescent="0.25">
      <c r="B147"/>
      <c r="K147" s="421" t="s">
        <v>1692</v>
      </c>
      <c r="L147" t="s">
        <v>1938</v>
      </c>
    </row>
    <row r="148" spans="2:12" x14ac:dyDescent="0.25">
      <c r="B148"/>
      <c r="K148" s="421" t="s">
        <v>1694</v>
      </c>
      <c r="L148" t="s">
        <v>1939</v>
      </c>
    </row>
    <row r="149" spans="2:12" x14ac:dyDescent="0.25">
      <c r="B149"/>
      <c r="K149" s="421" t="s">
        <v>1469</v>
      </c>
      <c r="L149" t="s">
        <v>2056</v>
      </c>
    </row>
    <row r="150" spans="2:12" x14ac:dyDescent="0.25">
      <c r="B150"/>
      <c r="K150" s="421" t="s">
        <v>1689</v>
      </c>
      <c r="L150" t="s">
        <v>2409</v>
      </c>
    </row>
    <row r="151" spans="2:12" x14ac:dyDescent="0.25">
      <c r="B151"/>
      <c r="K151" s="421" t="s">
        <v>1473</v>
      </c>
      <c r="L151" t="s">
        <v>1913</v>
      </c>
    </row>
    <row r="152" spans="2:12" x14ac:dyDescent="0.25">
      <c r="B152"/>
      <c r="K152" s="421" t="s">
        <v>1686</v>
      </c>
      <c r="L152" t="s">
        <v>2095</v>
      </c>
    </row>
    <row r="153" spans="2:12" x14ac:dyDescent="0.25">
      <c r="B153"/>
      <c r="K153" s="421" t="s">
        <v>1691</v>
      </c>
      <c r="L153" t="s">
        <v>2094</v>
      </c>
    </row>
    <row r="154" spans="2:12" x14ac:dyDescent="0.25">
      <c r="B154"/>
      <c r="K154" s="427" t="s">
        <v>1474</v>
      </c>
      <c r="L154" t="s">
        <v>2376</v>
      </c>
    </row>
    <row r="155" spans="2:12" x14ac:dyDescent="0.25">
      <c r="B155"/>
      <c r="K155" s="421" t="s">
        <v>2357</v>
      </c>
      <c r="L155" t="s">
        <v>2358</v>
      </c>
    </row>
    <row r="156" spans="2:12" x14ac:dyDescent="0.25">
      <c r="B156"/>
      <c r="K156" s="421" t="s">
        <v>1470</v>
      </c>
      <c r="L156" t="s">
        <v>1940</v>
      </c>
    </row>
    <row r="157" spans="2:12" x14ac:dyDescent="0.25">
      <c r="B157"/>
      <c r="K157" s="421" t="s">
        <v>1688</v>
      </c>
      <c r="L157" t="s">
        <v>1941</v>
      </c>
    </row>
    <row r="158" spans="2:12" x14ac:dyDescent="0.25">
      <c r="B158"/>
      <c r="K158" s="421" t="s">
        <v>1687</v>
      </c>
      <c r="L158" t="s">
        <v>1942</v>
      </c>
    </row>
    <row r="159" spans="2:12" x14ac:dyDescent="0.25">
      <c r="B159"/>
      <c r="K159" s="421" t="s">
        <v>1690</v>
      </c>
      <c r="L159" t="s">
        <v>1943</v>
      </c>
    </row>
    <row r="160" spans="2:12" x14ac:dyDescent="0.25">
      <c r="B160"/>
      <c r="K160" s="421" t="s">
        <v>1471</v>
      </c>
      <c r="L160" t="s">
        <v>1944</v>
      </c>
    </row>
    <row r="161" spans="2:12" x14ac:dyDescent="0.25">
      <c r="B161"/>
      <c r="K161" s="421" t="s">
        <v>1696</v>
      </c>
      <c r="L161" t="s">
        <v>1945</v>
      </c>
    </row>
    <row r="162" spans="2:12" x14ac:dyDescent="0.25">
      <c r="B162"/>
      <c r="K162" s="421" t="s">
        <v>1698</v>
      </c>
      <c r="L162" t="s">
        <v>1946</v>
      </c>
    </row>
    <row r="163" spans="2:12" x14ac:dyDescent="0.25">
      <c r="B163"/>
      <c r="K163" s="421" t="s">
        <v>1685</v>
      </c>
      <c r="L163" t="s">
        <v>1913</v>
      </c>
    </row>
    <row r="164" spans="2:12" x14ac:dyDescent="0.25">
      <c r="B164"/>
      <c r="K164" s="421" t="s">
        <v>1468</v>
      </c>
      <c r="L164" s="421" t="s">
        <v>1947</v>
      </c>
    </row>
    <row r="165" spans="2:12" x14ac:dyDescent="0.25">
      <c r="B165"/>
      <c r="K165" s="421" t="s">
        <v>1693</v>
      </c>
      <c r="L165" s="421" t="s">
        <v>1948</v>
      </c>
    </row>
    <row r="166" spans="2:12" x14ac:dyDescent="0.25">
      <c r="B166"/>
      <c r="K166" s="421" t="s">
        <v>1950</v>
      </c>
      <c r="L166" s="421" t="s">
        <v>1949</v>
      </c>
    </row>
    <row r="167" spans="2:12" x14ac:dyDescent="0.25">
      <c r="B167"/>
      <c r="K167" s="421" t="s">
        <v>1683</v>
      </c>
      <c r="L167" s="421" t="s">
        <v>2222</v>
      </c>
    </row>
    <row r="168" spans="2:12" x14ac:dyDescent="0.25">
      <c r="B168"/>
      <c r="K168" s="421" t="s">
        <v>2136</v>
      </c>
      <c r="L168" s="421" t="s">
        <v>2785</v>
      </c>
    </row>
    <row r="169" spans="2:12" x14ac:dyDescent="0.25">
      <c r="B169"/>
      <c r="K169" s="421" t="s">
        <v>2000</v>
      </c>
      <c r="L169" s="421" t="s">
        <v>1913</v>
      </c>
    </row>
    <row r="170" spans="2:12" x14ac:dyDescent="0.25">
      <c r="B170"/>
      <c r="K170" s="421" t="s">
        <v>2002</v>
      </c>
      <c r="L170" s="421" t="s">
        <v>1913</v>
      </c>
    </row>
    <row r="171" spans="2:12" x14ac:dyDescent="0.25">
      <c r="B171"/>
      <c r="K171" s="421" t="s">
        <v>2001</v>
      </c>
      <c r="L171" s="421" t="s">
        <v>1913</v>
      </c>
    </row>
    <row r="172" spans="2:12" x14ac:dyDescent="0.25">
      <c r="B172"/>
      <c r="K172" s="421" t="s">
        <v>2003</v>
      </c>
      <c r="L172" s="421" t="s">
        <v>1913</v>
      </c>
    </row>
    <row r="173" spans="2:12" x14ac:dyDescent="0.25">
      <c r="B173"/>
      <c r="K173" s="421" t="s">
        <v>2006</v>
      </c>
      <c r="L173" s="421" t="s">
        <v>1913</v>
      </c>
    </row>
    <row r="174" spans="2:12" x14ac:dyDescent="0.25">
      <c r="B174"/>
      <c r="K174" s="421" t="s">
        <v>2007</v>
      </c>
      <c r="L174" s="421" t="s">
        <v>1913</v>
      </c>
    </row>
    <row r="175" spans="2:12" x14ac:dyDescent="0.25">
      <c r="B175"/>
      <c r="K175" s="421" t="s">
        <v>1986</v>
      </c>
      <c r="L175" s="421" t="s">
        <v>1913</v>
      </c>
    </row>
    <row r="176" spans="2:12" x14ac:dyDescent="0.25">
      <c r="B176"/>
      <c r="L176" s="421"/>
    </row>
    <row r="177" spans="2:12" x14ac:dyDescent="0.25">
      <c r="B177"/>
      <c r="L177" s="421"/>
    </row>
    <row r="178" spans="2:12" x14ac:dyDescent="0.25">
      <c r="B178"/>
      <c r="L178" s="421"/>
    </row>
    <row r="179" spans="2:12" x14ac:dyDescent="0.25">
      <c r="B179"/>
      <c r="K179" s="427"/>
    </row>
    <row r="180" spans="2:12" x14ac:dyDescent="0.25">
      <c r="B180"/>
      <c r="K180" s="427"/>
    </row>
    <row r="181" spans="2:12" x14ac:dyDescent="0.25">
      <c r="B181"/>
      <c r="K181" s="427"/>
    </row>
    <row r="182" spans="2:12" x14ac:dyDescent="0.25">
      <c r="B182"/>
      <c r="K182" s="427"/>
    </row>
    <row r="183" spans="2:12" x14ac:dyDescent="0.25">
      <c r="B183"/>
      <c r="K183" s="427"/>
    </row>
    <row r="184" spans="2:12" x14ac:dyDescent="0.25">
      <c r="B184"/>
      <c r="K184" s="427"/>
    </row>
    <row r="185" spans="2:12" x14ac:dyDescent="0.25">
      <c r="B185"/>
      <c r="K185" s="427"/>
    </row>
    <row r="186" spans="2:12" x14ac:dyDescent="0.25">
      <c r="B186"/>
      <c r="K186" s="427"/>
    </row>
    <row r="187" spans="2:12" x14ac:dyDescent="0.25">
      <c r="B187"/>
      <c r="K187" s="427"/>
    </row>
    <row r="188" spans="2:12" x14ac:dyDescent="0.25">
      <c r="B188"/>
      <c r="K188" s="427"/>
    </row>
    <row r="189" spans="2:12" x14ac:dyDescent="0.25">
      <c r="B189"/>
      <c r="K189" s="427"/>
    </row>
    <row r="190" spans="2:12" x14ac:dyDescent="0.25">
      <c r="B190"/>
      <c r="K190" s="427"/>
    </row>
    <row r="191" spans="2:12" x14ac:dyDescent="0.25">
      <c r="B191"/>
      <c r="K191" s="427"/>
    </row>
    <row r="192" spans="2:12" x14ac:dyDescent="0.25">
      <c r="B192"/>
      <c r="K192" s="427"/>
    </row>
    <row r="193" spans="2:11" x14ac:dyDescent="0.25">
      <c r="B193"/>
      <c r="K193" s="427"/>
    </row>
    <row r="194" spans="2:11" x14ac:dyDescent="0.25">
      <c r="B194"/>
      <c r="K194" s="427"/>
    </row>
    <row r="195" spans="2:11" x14ac:dyDescent="0.25">
      <c r="B195"/>
      <c r="K195" s="427"/>
    </row>
    <row r="196" spans="2:11" x14ac:dyDescent="0.25">
      <c r="B196"/>
      <c r="K196" s="427"/>
    </row>
    <row r="197" spans="2:11" x14ac:dyDescent="0.25">
      <c r="B197"/>
      <c r="K197" s="427"/>
    </row>
    <row r="198" spans="2:11" x14ac:dyDescent="0.25">
      <c r="B198"/>
      <c r="K198" s="427"/>
    </row>
    <row r="199" spans="2:11" x14ac:dyDescent="0.25">
      <c r="B199"/>
      <c r="K199" s="427"/>
    </row>
    <row r="200" spans="2:11" x14ac:dyDescent="0.25">
      <c r="B200"/>
      <c r="K200" s="427"/>
    </row>
    <row r="201" spans="2:11" x14ac:dyDescent="0.25">
      <c r="B201"/>
      <c r="K201" s="427"/>
    </row>
    <row r="202" spans="2:11" x14ac:dyDescent="0.25">
      <c r="B202"/>
      <c r="K202" s="427"/>
    </row>
    <row r="203" spans="2:11" x14ac:dyDescent="0.25">
      <c r="B203"/>
      <c r="K203" s="427"/>
    </row>
    <row r="204" spans="2:11" x14ac:dyDescent="0.25">
      <c r="B204"/>
      <c r="K204" s="427"/>
    </row>
    <row r="205" spans="2:11" x14ac:dyDescent="0.25">
      <c r="B205"/>
      <c r="K205" s="427"/>
    </row>
    <row r="206" spans="2:11" x14ac:dyDescent="0.25">
      <c r="B206"/>
      <c r="K206" s="427"/>
    </row>
    <row r="207" spans="2:11" x14ac:dyDescent="0.25">
      <c r="B207"/>
      <c r="K207" s="427"/>
    </row>
    <row r="208" spans="2:11" x14ac:dyDescent="0.25">
      <c r="B208"/>
      <c r="K208" s="427"/>
    </row>
    <row r="209" spans="2:11" x14ac:dyDescent="0.25">
      <c r="B209"/>
      <c r="K209" s="427"/>
    </row>
    <row r="210" spans="2:11" x14ac:dyDescent="0.25">
      <c r="B210"/>
      <c r="K210" s="427"/>
    </row>
    <row r="211" spans="2:11" x14ac:dyDescent="0.25">
      <c r="B211"/>
      <c r="K211" s="427"/>
    </row>
    <row r="212" spans="2:11" x14ac:dyDescent="0.25">
      <c r="B212"/>
      <c r="K212" s="427"/>
    </row>
    <row r="213" spans="2:11" x14ac:dyDescent="0.25">
      <c r="B213"/>
      <c r="K213" s="427"/>
    </row>
    <row r="214" spans="2:11" x14ac:dyDescent="0.25">
      <c r="B214"/>
      <c r="K214" s="427"/>
    </row>
    <row r="215" spans="2:11" x14ac:dyDescent="0.25">
      <c r="B215"/>
      <c r="K215" s="427"/>
    </row>
    <row r="216" spans="2:11" x14ac:dyDescent="0.25">
      <c r="B216"/>
      <c r="K216" s="427"/>
    </row>
    <row r="217" spans="2:11" x14ac:dyDescent="0.25">
      <c r="B217"/>
      <c r="K217" s="427"/>
    </row>
    <row r="218" spans="2:11" x14ac:dyDescent="0.25">
      <c r="B218"/>
      <c r="K218" s="427"/>
    </row>
    <row r="219" spans="2:11" x14ac:dyDescent="0.25">
      <c r="B219"/>
      <c r="K219" s="427"/>
    </row>
    <row r="220" spans="2:11" x14ac:dyDescent="0.25">
      <c r="B220"/>
      <c r="K220" s="427"/>
    </row>
    <row r="221" spans="2:11" x14ac:dyDescent="0.25">
      <c r="B221"/>
      <c r="K221" s="427"/>
    </row>
    <row r="222" spans="2:11" x14ac:dyDescent="0.25">
      <c r="B222"/>
      <c r="K222" s="427"/>
    </row>
    <row r="223" spans="2:11" x14ac:dyDescent="0.25">
      <c r="B223"/>
      <c r="K223" s="427"/>
    </row>
    <row r="224" spans="2:11" x14ac:dyDescent="0.25">
      <c r="B224"/>
      <c r="K224" s="427"/>
    </row>
    <row r="225" spans="2:11" x14ac:dyDescent="0.25">
      <c r="B225"/>
      <c r="K225" s="427"/>
    </row>
    <row r="226" spans="2:11" x14ac:dyDescent="0.25">
      <c r="B226"/>
      <c r="K226" s="427"/>
    </row>
    <row r="227" spans="2:11" x14ac:dyDescent="0.25">
      <c r="B227"/>
      <c r="K227" s="427"/>
    </row>
    <row r="228" spans="2:11" x14ac:dyDescent="0.25">
      <c r="B228"/>
      <c r="K228" s="427"/>
    </row>
    <row r="229" spans="2:11" x14ac:dyDescent="0.25">
      <c r="B229"/>
      <c r="K229" s="427"/>
    </row>
    <row r="230" spans="2:11" x14ac:dyDescent="0.25">
      <c r="B230"/>
      <c r="K230" s="427"/>
    </row>
    <row r="231" spans="2:11" x14ac:dyDescent="0.25">
      <c r="B231"/>
      <c r="K231" s="427"/>
    </row>
    <row r="232" spans="2:11" x14ac:dyDescent="0.25">
      <c r="B232"/>
      <c r="K232" s="427"/>
    </row>
    <row r="233" spans="2:11" x14ac:dyDescent="0.25">
      <c r="B233"/>
      <c r="K233" s="427"/>
    </row>
    <row r="234" spans="2:11" x14ac:dyDescent="0.25">
      <c r="B234"/>
      <c r="K234" s="427"/>
    </row>
    <row r="235" spans="2:11" x14ac:dyDescent="0.25">
      <c r="B235"/>
      <c r="K235" s="427"/>
    </row>
    <row r="236" spans="2:11" x14ac:dyDescent="0.25">
      <c r="B236"/>
      <c r="K236" s="427"/>
    </row>
    <row r="237" spans="2:11" x14ac:dyDescent="0.25">
      <c r="B237"/>
      <c r="K237" s="427"/>
    </row>
    <row r="238" spans="2:11" x14ac:dyDescent="0.25">
      <c r="B238"/>
      <c r="K238" s="427"/>
    </row>
    <row r="239" spans="2:11" x14ac:dyDescent="0.25">
      <c r="B239"/>
      <c r="K239" s="427"/>
    </row>
    <row r="240" spans="2:11" x14ac:dyDescent="0.25">
      <c r="B240"/>
      <c r="K240" s="427"/>
    </row>
    <row r="241" spans="2:11" x14ac:dyDescent="0.25">
      <c r="B241"/>
      <c r="K241" s="427"/>
    </row>
    <row r="242" spans="2:11" x14ac:dyDescent="0.25">
      <c r="B242"/>
      <c r="K242" s="427"/>
    </row>
    <row r="243" spans="2:11" x14ac:dyDescent="0.25">
      <c r="B243"/>
      <c r="K243" s="427"/>
    </row>
    <row r="244" spans="2:11" x14ac:dyDescent="0.25">
      <c r="B244"/>
      <c r="K244" s="427"/>
    </row>
    <row r="245" spans="2:11" x14ac:dyDescent="0.25">
      <c r="B245"/>
      <c r="K245" s="427"/>
    </row>
    <row r="246" spans="2:11" x14ac:dyDescent="0.25">
      <c r="B246"/>
      <c r="K246" s="427"/>
    </row>
    <row r="247" spans="2:11" x14ac:dyDescent="0.25">
      <c r="B247"/>
      <c r="K247" s="427"/>
    </row>
    <row r="248" spans="2:11" x14ac:dyDescent="0.25">
      <c r="B248"/>
      <c r="K248" s="427"/>
    </row>
    <row r="249" spans="2:11" x14ac:dyDescent="0.25">
      <c r="B249"/>
      <c r="K249" s="427"/>
    </row>
    <row r="250" spans="2:11" x14ac:dyDescent="0.25">
      <c r="B250"/>
      <c r="K250" s="427"/>
    </row>
    <row r="251" spans="2:11" x14ac:dyDescent="0.25">
      <c r="B251"/>
      <c r="K251" s="427"/>
    </row>
    <row r="252" spans="2:11" x14ac:dyDescent="0.25">
      <c r="B252"/>
      <c r="K252" s="427"/>
    </row>
    <row r="253" spans="2:11" x14ac:dyDescent="0.25">
      <c r="B253"/>
      <c r="K253" s="427"/>
    </row>
    <row r="254" spans="2:11" x14ac:dyDescent="0.25">
      <c r="B254"/>
      <c r="K254" s="427"/>
    </row>
    <row r="255" spans="2:11" x14ac:dyDescent="0.25">
      <c r="B255"/>
      <c r="K255" s="427"/>
    </row>
    <row r="256" spans="2:11" x14ac:dyDescent="0.25">
      <c r="B256"/>
      <c r="K256" s="427"/>
    </row>
    <row r="257" spans="2:11" x14ac:dyDescent="0.25">
      <c r="B257"/>
      <c r="K257" s="427"/>
    </row>
    <row r="258" spans="2:11" x14ac:dyDescent="0.25">
      <c r="B258"/>
      <c r="K258" s="427"/>
    </row>
    <row r="259" spans="2:11" x14ac:dyDescent="0.25">
      <c r="B259"/>
      <c r="K259" s="427"/>
    </row>
    <row r="260" spans="2:11" x14ac:dyDescent="0.25">
      <c r="B260"/>
      <c r="K260" s="427"/>
    </row>
    <row r="261" spans="2:11" x14ac:dyDescent="0.25">
      <c r="B261"/>
      <c r="K261" s="427"/>
    </row>
    <row r="262" spans="2:11" x14ac:dyDescent="0.25">
      <c r="B262"/>
      <c r="K262" s="427"/>
    </row>
    <row r="263" spans="2:11" x14ac:dyDescent="0.25">
      <c r="B263"/>
      <c r="K263" s="427"/>
    </row>
    <row r="264" spans="2:11" x14ac:dyDescent="0.25">
      <c r="B264"/>
      <c r="K264" s="427"/>
    </row>
    <row r="265" spans="2:11" x14ac:dyDescent="0.25">
      <c r="B265"/>
      <c r="K265" s="427"/>
    </row>
    <row r="266" spans="2:11" x14ac:dyDescent="0.25">
      <c r="B266"/>
      <c r="K266" s="427"/>
    </row>
    <row r="267" spans="2:11" x14ac:dyDescent="0.25">
      <c r="B267"/>
      <c r="K267" s="427"/>
    </row>
    <row r="268" spans="2:11" x14ac:dyDescent="0.25">
      <c r="B268"/>
      <c r="K268" s="427"/>
    </row>
    <row r="269" spans="2:11" x14ac:dyDescent="0.25">
      <c r="B269"/>
      <c r="K269" s="427"/>
    </row>
    <row r="270" spans="2:11" x14ac:dyDescent="0.25">
      <c r="B270"/>
      <c r="K270" s="427"/>
    </row>
    <row r="271" spans="2:11" x14ac:dyDescent="0.25">
      <c r="B271"/>
      <c r="K271" s="427"/>
    </row>
    <row r="272" spans="2:11" x14ac:dyDescent="0.25">
      <c r="B272"/>
      <c r="K272" s="427"/>
    </row>
    <row r="273" spans="2:11" x14ac:dyDescent="0.25">
      <c r="B273"/>
      <c r="K273" s="427"/>
    </row>
    <row r="274" spans="2:11" x14ac:dyDescent="0.25">
      <c r="B274"/>
      <c r="K274" s="427"/>
    </row>
    <row r="275" spans="2:11" x14ac:dyDescent="0.25">
      <c r="B275"/>
      <c r="K275" s="427"/>
    </row>
    <row r="276" spans="2:11" x14ac:dyDescent="0.25">
      <c r="B276"/>
      <c r="K276" s="427"/>
    </row>
    <row r="277" spans="2:11" x14ac:dyDescent="0.25">
      <c r="B277"/>
      <c r="K277" s="427"/>
    </row>
    <row r="278" spans="2:11" x14ac:dyDescent="0.25">
      <c r="B278"/>
      <c r="K278" s="427"/>
    </row>
    <row r="279" spans="2:11" x14ac:dyDescent="0.25">
      <c r="B279"/>
      <c r="K279" s="427"/>
    </row>
    <row r="280" spans="2:11" x14ac:dyDescent="0.25">
      <c r="B280"/>
      <c r="K280" s="427"/>
    </row>
    <row r="281" spans="2:11" x14ac:dyDescent="0.25">
      <c r="B281"/>
      <c r="K281" s="427"/>
    </row>
    <row r="282" spans="2:11" x14ac:dyDescent="0.25">
      <c r="B282"/>
      <c r="K282" s="427"/>
    </row>
    <row r="283" spans="2:11" x14ac:dyDescent="0.25">
      <c r="B283"/>
      <c r="K283" s="427"/>
    </row>
    <row r="284" spans="2:11" x14ac:dyDescent="0.25">
      <c r="B284"/>
      <c r="K284" s="427"/>
    </row>
    <row r="285" spans="2:11" x14ac:dyDescent="0.25">
      <c r="B285"/>
      <c r="K285" s="427"/>
    </row>
    <row r="286" spans="2:11" x14ac:dyDescent="0.25">
      <c r="B286"/>
      <c r="K286" s="427"/>
    </row>
    <row r="287" spans="2:11" x14ac:dyDescent="0.25">
      <c r="B287"/>
      <c r="K287" s="427"/>
    </row>
    <row r="288" spans="2:11" x14ac:dyDescent="0.25">
      <c r="B288"/>
      <c r="K288" s="427"/>
    </row>
    <row r="289" spans="2:11" x14ac:dyDescent="0.25">
      <c r="B289"/>
      <c r="K289" s="427"/>
    </row>
    <row r="290" spans="2:11" x14ac:dyDescent="0.25">
      <c r="B290"/>
      <c r="K290" s="427"/>
    </row>
    <row r="291" spans="2:11" x14ac:dyDescent="0.25">
      <c r="B291"/>
      <c r="K291" s="427"/>
    </row>
    <row r="292" spans="2:11" x14ac:dyDescent="0.25">
      <c r="B292"/>
      <c r="K292" s="427"/>
    </row>
    <row r="293" spans="2:11" x14ac:dyDescent="0.25">
      <c r="B293"/>
      <c r="K293" s="427"/>
    </row>
    <row r="294" spans="2:11" x14ac:dyDescent="0.25">
      <c r="B294"/>
      <c r="K294" s="427"/>
    </row>
    <row r="295" spans="2:11" x14ac:dyDescent="0.25">
      <c r="B295"/>
      <c r="K295" s="427"/>
    </row>
    <row r="296" spans="2:11" x14ac:dyDescent="0.25">
      <c r="B296"/>
      <c r="K296" s="427"/>
    </row>
    <row r="297" spans="2:11" x14ac:dyDescent="0.25">
      <c r="B297"/>
      <c r="K297" s="427"/>
    </row>
    <row r="298" spans="2:11" x14ac:dyDescent="0.25">
      <c r="B298"/>
      <c r="K298" s="427"/>
    </row>
    <row r="299" spans="2:11" x14ac:dyDescent="0.25">
      <c r="B299"/>
      <c r="K299" s="427"/>
    </row>
    <row r="300" spans="2:11" x14ac:dyDescent="0.25">
      <c r="B300"/>
      <c r="K300" s="427"/>
    </row>
    <row r="301" spans="2:11" x14ac:dyDescent="0.25">
      <c r="B301"/>
      <c r="K301" s="427"/>
    </row>
    <row r="302" spans="2:11" x14ac:dyDescent="0.25">
      <c r="B302"/>
      <c r="K302" s="427"/>
    </row>
    <row r="303" spans="2:11" x14ac:dyDescent="0.25">
      <c r="B303"/>
      <c r="K303" s="427"/>
    </row>
    <row r="304" spans="2:11" x14ac:dyDescent="0.25">
      <c r="B304"/>
      <c r="K304" s="427"/>
    </row>
    <row r="305" spans="2:11" x14ac:dyDescent="0.25">
      <c r="B305"/>
      <c r="K305" s="427"/>
    </row>
    <row r="306" spans="2:11" x14ac:dyDescent="0.25">
      <c r="B306"/>
      <c r="K306" s="427"/>
    </row>
    <row r="307" spans="2:11" x14ac:dyDescent="0.25">
      <c r="B307"/>
      <c r="K307" s="427"/>
    </row>
    <row r="308" spans="2:11" x14ac:dyDescent="0.25">
      <c r="B308"/>
      <c r="K308" s="427"/>
    </row>
    <row r="309" spans="2:11" x14ac:dyDescent="0.25">
      <c r="B309"/>
      <c r="K309" s="427"/>
    </row>
    <row r="310" spans="2:11" x14ac:dyDescent="0.25">
      <c r="B310"/>
      <c r="K310" s="427"/>
    </row>
    <row r="311" spans="2:11" x14ac:dyDescent="0.25">
      <c r="B311"/>
      <c r="K311" s="427"/>
    </row>
    <row r="312" spans="2:11" x14ac:dyDescent="0.25">
      <c r="B312"/>
      <c r="K312" s="427"/>
    </row>
    <row r="313" spans="2:11" x14ac:dyDescent="0.25">
      <c r="B313"/>
      <c r="K313" s="427"/>
    </row>
    <row r="314" spans="2:11" x14ac:dyDescent="0.25">
      <c r="B314"/>
      <c r="K314" s="427"/>
    </row>
    <row r="315" spans="2:11" x14ac:dyDescent="0.25">
      <c r="B315"/>
      <c r="K315" s="427"/>
    </row>
    <row r="316" spans="2:11" x14ac:dyDescent="0.25">
      <c r="B316"/>
      <c r="K316" s="427"/>
    </row>
    <row r="317" spans="2:11" x14ac:dyDescent="0.25">
      <c r="B317"/>
      <c r="K317" s="427"/>
    </row>
    <row r="318" spans="2:11" x14ac:dyDescent="0.25">
      <c r="B318"/>
      <c r="K318" s="427"/>
    </row>
    <row r="319" spans="2:11" x14ac:dyDescent="0.25">
      <c r="B319"/>
      <c r="K319" s="427"/>
    </row>
    <row r="320" spans="2:11" x14ac:dyDescent="0.25">
      <c r="B320"/>
      <c r="K320" s="427"/>
    </row>
    <row r="321" spans="2:11" x14ac:dyDescent="0.25">
      <c r="B321"/>
      <c r="K321" s="427"/>
    </row>
    <row r="322" spans="2:11" x14ac:dyDescent="0.25">
      <c r="B322"/>
      <c r="K322" s="427"/>
    </row>
    <row r="323" spans="2:11" x14ac:dyDescent="0.25">
      <c r="B323"/>
      <c r="K323" s="427"/>
    </row>
    <row r="324" spans="2:11" x14ac:dyDescent="0.25">
      <c r="B324"/>
      <c r="K324" s="427"/>
    </row>
    <row r="325" spans="2:11" x14ac:dyDescent="0.25">
      <c r="B325"/>
      <c r="K325" s="427"/>
    </row>
    <row r="326" spans="2:11" x14ac:dyDescent="0.25">
      <c r="B326"/>
      <c r="K326" s="427"/>
    </row>
    <row r="327" spans="2:11" x14ac:dyDescent="0.25">
      <c r="B327"/>
      <c r="K327" s="427"/>
    </row>
    <row r="328" spans="2:11" x14ac:dyDescent="0.25">
      <c r="B328"/>
      <c r="K328" s="427"/>
    </row>
    <row r="329" spans="2:11" x14ac:dyDescent="0.25">
      <c r="B329"/>
      <c r="K329" s="427"/>
    </row>
    <row r="330" spans="2:11" x14ac:dyDescent="0.25">
      <c r="B330"/>
      <c r="K330" s="427"/>
    </row>
    <row r="331" spans="2:11" x14ac:dyDescent="0.25">
      <c r="B331"/>
      <c r="K331" s="427"/>
    </row>
    <row r="332" spans="2:11" x14ac:dyDescent="0.25">
      <c r="B332"/>
      <c r="K332" s="427"/>
    </row>
    <row r="333" spans="2:11" x14ac:dyDescent="0.25">
      <c r="B333"/>
      <c r="K333" s="427"/>
    </row>
    <row r="334" spans="2:11" x14ac:dyDescent="0.25">
      <c r="B334"/>
      <c r="K334" s="427"/>
    </row>
    <row r="335" spans="2:11" x14ac:dyDescent="0.25">
      <c r="B335"/>
      <c r="K335" s="427"/>
    </row>
    <row r="336" spans="2:11" x14ac:dyDescent="0.25">
      <c r="B336"/>
      <c r="K336" s="427"/>
    </row>
    <row r="337" spans="2:11" x14ac:dyDescent="0.25">
      <c r="B337"/>
      <c r="K337" s="427"/>
    </row>
    <row r="338" spans="2:11" x14ac:dyDescent="0.25">
      <c r="B338"/>
      <c r="K338" s="427"/>
    </row>
    <row r="339" spans="2:11" x14ac:dyDescent="0.25">
      <c r="B339"/>
      <c r="K339" s="427"/>
    </row>
    <row r="340" spans="2:11" x14ac:dyDescent="0.25">
      <c r="B340"/>
      <c r="K340" s="427"/>
    </row>
    <row r="341" spans="2:11" x14ac:dyDescent="0.25">
      <c r="B341"/>
      <c r="K341" s="427"/>
    </row>
    <row r="342" spans="2:11" x14ac:dyDescent="0.25">
      <c r="B342"/>
      <c r="K342" s="427"/>
    </row>
    <row r="343" spans="2:11" x14ac:dyDescent="0.25">
      <c r="B343"/>
      <c r="K343" s="427"/>
    </row>
    <row r="344" spans="2:11" x14ac:dyDescent="0.25">
      <c r="B344"/>
      <c r="K344" s="427"/>
    </row>
    <row r="345" spans="2:11" x14ac:dyDescent="0.25">
      <c r="B345"/>
      <c r="K345" s="427"/>
    </row>
    <row r="346" spans="2:11" x14ac:dyDescent="0.25">
      <c r="B346"/>
      <c r="K346" s="427"/>
    </row>
    <row r="347" spans="2:11" x14ac:dyDescent="0.25">
      <c r="B347"/>
      <c r="K347" s="427"/>
    </row>
    <row r="348" spans="2:11" x14ac:dyDescent="0.25">
      <c r="B348"/>
      <c r="K348" s="427"/>
    </row>
    <row r="349" spans="2:11" x14ac:dyDescent="0.25">
      <c r="B349"/>
      <c r="K349" s="427"/>
    </row>
    <row r="350" spans="2:11" x14ac:dyDescent="0.25">
      <c r="B350"/>
      <c r="K350" s="427"/>
    </row>
    <row r="351" spans="2:11" x14ac:dyDescent="0.25">
      <c r="B351"/>
      <c r="K351" s="427"/>
    </row>
    <row r="352" spans="2:11" x14ac:dyDescent="0.25">
      <c r="B352"/>
      <c r="K352" s="427"/>
    </row>
    <row r="353" spans="2:11" x14ac:dyDescent="0.25">
      <c r="B353"/>
      <c r="K353" s="427"/>
    </row>
    <row r="354" spans="2:11" x14ac:dyDescent="0.25">
      <c r="B354"/>
      <c r="K354" s="427"/>
    </row>
    <row r="355" spans="2:11" x14ac:dyDescent="0.25">
      <c r="B355"/>
      <c r="K355" s="427"/>
    </row>
    <row r="356" spans="2:11" x14ac:dyDescent="0.25">
      <c r="B356"/>
      <c r="K356" s="427"/>
    </row>
    <row r="357" spans="2:11" x14ac:dyDescent="0.25">
      <c r="B357"/>
      <c r="K357" s="427"/>
    </row>
    <row r="358" spans="2:11" x14ac:dyDescent="0.25">
      <c r="B358"/>
      <c r="K358" s="427"/>
    </row>
    <row r="359" spans="2:11" x14ac:dyDescent="0.25">
      <c r="B359"/>
      <c r="K359" s="427"/>
    </row>
    <row r="360" spans="2:11" x14ac:dyDescent="0.25">
      <c r="B360"/>
      <c r="K360" s="427"/>
    </row>
    <row r="361" spans="2:11" x14ac:dyDescent="0.25">
      <c r="B361"/>
      <c r="K361" s="427"/>
    </row>
    <row r="362" spans="2:11" x14ac:dyDescent="0.25">
      <c r="B362"/>
      <c r="K362" s="427"/>
    </row>
    <row r="363" spans="2:11" x14ac:dyDescent="0.25">
      <c r="B363"/>
      <c r="K363" s="427"/>
    </row>
    <row r="364" spans="2:11" x14ac:dyDescent="0.25">
      <c r="B364"/>
      <c r="K364" s="427"/>
    </row>
    <row r="365" spans="2:11" x14ac:dyDescent="0.25">
      <c r="B365"/>
      <c r="K365" s="427"/>
    </row>
    <row r="366" spans="2:11" x14ac:dyDescent="0.25">
      <c r="B366"/>
      <c r="K366" s="427"/>
    </row>
    <row r="367" spans="2:11" x14ac:dyDescent="0.25">
      <c r="B367"/>
      <c r="K367" s="427"/>
    </row>
    <row r="368" spans="2:11" x14ac:dyDescent="0.25">
      <c r="B368"/>
      <c r="K368" s="427"/>
    </row>
    <row r="369" spans="2:11" x14ac:dyDescent="0.25">
      <c r="B369"/>
      <c r="K369" s="427"/>
    </row>
    <row r="370" spans="2:11" x14ac:dyDescent="0.25">
      <c r="B370"/>
      <c r="K370" s="427"/>
    </row>
    <row r="371" spans="2:11" x14ac:dyDescent="0.25">
      <c r="B371"/>
      <c r="K371" s="427"/>
    </row>
    <row r="372" spans="2:11" x14ac:dyDescent="0.25">
      <c r="B372"/>
      <c r="K372" s="427"/>
    </row>
    <row r="373" spans="2:11" x14ac:dyDescent="0.25">
      <c r="B373"/>
      <c r="K373" s="427"/>
    </row>
    <row r="374" spans="2:11" x14ac:dyDescent="0.25">
      <c r="B374"/>
      <c r="K374" s="427"/>
    </row>
    <row r="375" spans="2:11" x14ac:dyDescent="0.25">
      <c r="B375"/>
      <c r="K375" s="427"/>
    </row>
    <row r="376" spans="2:11" x14ac:dyDescent="0.25">
      <c r="B376"/>
      <c r="K376" s="427"/>
    </row>
    <row r="377" spans="2:11" x14ac:dyDescent="0.25">
      <c r="B377"/>
      <c r="K377" s="427"/>
    </row>
    <row r="378" spans="2:11" x14ac:dyDescent="0.25">
      <c r="B378"/>
      <c r="K378" s="427"/>
    </row>
    <row r="379" spans="2:11" x14ac:dyDescent="0.25">
      <c r="B379"/>
      <c r="K379" s="427"/>
    </row>
    <row r="380" spans="2:11" x14ac:dyDescent="0.25">
      <c r="B380"/>
      <c r="K380" s="427"/>
    </row>
    <row r="381" spans="2:11" x14ac:dyDescent="0.25">
      <c r="B381"/>
      <c r="K381" s="427"/>
    </row>
    <row r="382" spans="2:11" x14ac:dyDescent="0.25">
      <c r="B382"/>
      <c r="K382" s="427"/>
    </row>
    <row r="383" spans="2:11" x14ac:dyDescent="0.25">
      <c r="B383"/>
      <c r="K383" s="427"/>
    </row>
    <row r="384" spans="2:11" x14ac:dyDescent="0.25">
      <c r="B384"/>
      <c r="K384" s="427"/>
    </row>
    <row r="385" spans="2:11" x14ac:dyDescent="0.25">
      <c r="B385"/>
      <c r="K385" s="427"/>
    </row>
    <row r="386" spans="2:11" x14ac:dyDescent="0.25">
      <c r="B386"/>
      <c r="K386" s="427"/>
    </row>
    <row r="387" spans="2:11" x14ac:dyDescent="0.25">
      <c r="B387"/>
      <c r="K387" s="427"/>
    </row>
    <row r="388" spans="2:11" x14ac:dyDescent="0.25">
      <c r="B388"/>
      <c r="K388" s="427"/>
    </row>
    <row r="389" spans="2:11" x14ac:dyDescent="0.25">
      <c r="B389"/>
      <c r="K389" s="427"/>
    </row>
    <row r="390" spans="2:11" x14ac:dyDescent="0.25">
      <c r="B390"/>
      <c r="K390" s="427"/>
    </row>
    <row r="391" spans="2:11" x14ac:dyDescent="0.25">
      <c r="B391"/>
      <c r="K391" s="427"/>
    </row>
    <row r="392" spans="2:11" x14ac:dyDescent="0.25">
      <c r="B392"/>
      <c r="K392" s="427"/>
    </row>
    <row r="393" spans="2:11" x14ac:dyDescent="0.25">
      <c r="B393"/>
      <c r="K393" s="427"/>
    </row>
    <row r="394" spans="2:11" x14ac:dyDescent="0.25">
      <c r="B394"/>
      <c r="K394" s="427"/>
    </row>
    <row r="395" spans="2:11" x14ac:dyDescent="0.25">
      <c r="B395"/>
      <c r="K395" s="427"/>
    </row>
    <row r="396" spans="2:11" x14ac:dyDescent="0.25">
      <c r="B396"/>
      <c r="K396" s="427"/>
    </row>
    <row r="397" spans="2:11" x14ac:dyDescent="0.25">
      <c r="B397"/>
      <c r="K397" s="427"/>
    </row>
    <row r="398" spans="2:11" x14ac:dyDescent="0.25">
      <c r="B398"/>
      <c r="K398" s="427"/>
    </row>
    <row r="399" spans="2:11" x14ac:dyDescent="0.25">
      <c r="B399"/>
      <c r="K399" s="427"/>
    </row>
    <row r="400" spans="2:11" x14ac:dyDescent="0.25">
      <c r="B400"/>
      <c r="K400" s="427"/>
    </row>
    <row r="401" spans="2:11" x14ac:dyDescent="0.25">
      <c r="B401"/>
      <c r="K401" s="427"/>
    </row>
    <row r="402" spans="2:11" x14ac:dyDescent="0.25">
      <c r="B402"/>
      <c r="K402" s="427"/>
    </row>
    <row r="403" spans="2:11" x14ac:dyDescent="0.25">
      <c r="B403"/>
      <c r="K403" s="427"/>
    </row>
    <row r="404" spans="2:11" x14ac:dyDescent="0.25">
      <c r="B404"/>
      <c r="K404" s="427"/>
    </row>
    <row r="405" spans="2:11" x14ac:dyDescent="0.25">
      <c r="B405"/>
      <c r="K405" s="427"/>
    </row>
    <row r="406" spans="2:11" x14ac:dyDescent="0.25">
      <c r="B406"/>
      <c r="K406" s="427"/>
    </row>
    <row r="407" spans="2:11" x14ac:dyDescent="0.25">
      <c r="B407"/>
      <c r="K407" s="427"/>
    </row>
    <row r="408" spans="2:11" x14ac:dyDescent="0.25">
      <c r="B408"/>
      <c r="K408" s="427"/>
    </row>
    <row r="409" spans="2:11" x14ac:dyDescent="0.25">
      <c r="B409"/>
      <c r="K409" s="427"/>
    </row>
    <row r="410" spans="2:11" x14ac:dyDescent="0.25">
      <c r="B410"/>
      <c r="K410" s="427"/>
    </row>
    <row r="411" spans="2:11" x14ac:dyDescent="0.25">
      <c r="B411"/>
      <c r="K411" s="427"/>
    </row>
    <row r="412" spans="2:11" x14ac:dyDescent="0.25">
      <c r="B412"/>
      <c r="K412" s="427"/>
    </row>
    <row r="413" spans="2:11" x14ac:dyDescent="0.25">
      <c r="B413"/>
      <c r="K413" s="427"/>
    </row>
    <row r="414" spans="2:11" x14ac:dyDescent="0.25">
      <c r="B414"/>
      <c r="K414" s="427"/>
    </row>
    <row r="415" spans="2:11" x14ac:dyDescent="0.25">
      <c r="B415"/>
      <c r="K415" s="427"/>
    </row>
    <row r="416" spans="2:11" x14ac:dyDescent="0.25">
      <c r="B416"/>
      <c r="K416" s="427"/>
    </row>
    <row r="417" spans="2:11" x14ac:dyDescent="0.25">
      <c r="B417"/>
      <c r="K417" s="427"/>
    </row>
    <row r="418" spans="2:11" x14ac:dyDescent="0.25">
      <c r="B418"/>
      <c r="K418" s="427"/>
    </row>
    <row r="419" spans="2:11" x14ac:dyDescent="0.25">
      <c r="B419"/>
      <c r="K419" s="427"/>
    </row>
    <row r="420" spans="2:11" x14ac:dyDescent="0.25">
      <c r="B420"/>
      <c r="K420" s="427"/>
    </row>
    <row r="421" spans="2:11" x14ac:dyDescent="0.25">
      <c r="B421"/>
      <c r="K421" s="427"/>
    </row>
    <row r="422" spans="2:11" x14ac:dyDescent="0.25">
      <c r="B422"/>
      <c r="K422" s="427"/>
    </row>
    <row r="423" spans="2:11" x14ac:dyDescent="0.25">
      <c r="B423"/>
      <c r="K423" s="427"/>
    </row>
    <row r="424" spans="2:11" x14ac:dyDescent="0.25">
      <c r="B424"/>
      <c r="K424" s="427"/>
    </row>
    <row r="425" spans="2:11" x14ac:dyDescent="0.25">
      <c r="B425"/>
      <c r="K425" s="427"/>
    </row>
    <row r="426" spans="2:11" x14ac:dyDescent="0.25">
      <c r="B426"/>
      <c r="K426" s="427"/>
    </row>
    <row r="427" spans="2:11" x14ac:dyDescent="0.25">
      <c r="B427"/>
      <c r="K427" s="427"/>
    </row>
    <row r="428" spans="2:11" x14ac:dyDescent="0.25">
      <c r="B428"/>
      <c r="K428" s="427"/>
    </row>
    <row r="429" spans="2:11" x14ac:dyDescent="0.25">
      <c r="B429"/>
      <c r="K429" s="427"/>
    </row>
    <row r="430" spans="2:11" x14ac:dyDescent="0.25">
      <c r="B430"/>
      <c r="K430" s="427"/>
    </row>
    <row r="431" spans="2:11" x14ac:dyDescent="0.25">
      <c r="B431"/>
      <c r="K431" s="427"/>
    </row>
    <row r="432" spans="2:11" x14ac:dyDescent="0.25">
      <c r="B432"/>
      <c r="K432" s="427"/>
    </row>
    <row r="433" spans="2:11" x14ac:dyDescent="0.25">
      <c r="B433"/>
      <c r="K433" s="427"/>
    </row>
    <row r="434" spans="2:11" x14ac:dyDescent="0.25">
      <c r="B434"/>
      <c r="K434" s="427"/>
    </row>
    <row r="435" spans="2:11" x14ac:dyDescent="0.25">
      <c r="B435"/>
      <c r="K435" s="427"/>
    </row>
    <row r="436" spans="2:11" x14ac:dyDescent="0.25">
      <c r="B436"/>
      <c r="K436" s="427"/>
    </row>
    <row r="437" spans="2:11" x14ac:dyDescent="0.25">
      <c r="B437"/>
      <c r="K437" s="427"/>
    </row>
    <row r="438" spans="2:11" x14ac:dyDescent="0.25">
      <c r="B438"/>
      <c r="K438" s="427"/>
    </row>
    <row r="439" spans="2:11" x14ac:dyDescent="0.25">
      <c r="B439"/>
      <c r="K439" s="427"/>
    </row>
    <row r="440" spans="2:11" x14ac:dyDescent="0.25">
      <c r="B440"/>
      <c r="K440" s="427"/>
    </row>
    <row r="441" spans="2:11" x14ac:dyDescent="0.25">
      <c r="B441"/>
      <c r="K441" s="427"/>
    </row>
    <row r="442" spans="2:11" x14ac:dyDescent="0.25">
      <c r="B442"/>
      <c r="K442" s="427"/>
    </row>
    <row r="443" spans="2:11" x14ac:dyDescent="0.25">
      <c r="B443"/>
      <c r="K443" s="427"/>
    </row>
    <row r="444" spans="2:11" x14ac:dyDescent="0.25">
      <c r="B444"/>
      <c r="K444" s="427"/>
    </row>
    <row r="445" spans="2:11" x14ac:dyDescent="0.25">
      <c r="B445"/>
      <c r="K445" s="427"/>
    </row>
    <row r="446" spans="2:11" x14ac:dyDescent="0.25">
      <c r="B446"/>
      <c r="K446" s="427"/>
    </row>
    <row r="447" spans="2:11" x14ac:dyDescent="0.25">
      <c r="B447"/>
      <c r="K447" s="427"/>
    </row>
    <row r="448" spans="2:11" x14ac:dyDescent="0.25">
      <c r="B448"/>
      <c r="K448" s="427"/>
    </row>
    <row r="449" spans="2:11" x14ac:dyDescent="0.25">
      <c r="B449"/>
      <c r="K449" s="427"/>
    </row>
    <row r="450" spans="2:11" x14ac:dyDescent="0.25">
      <c r="B450"/>
      <c r="K450" s="427"/>
    </row>
    <row r="451" spans="2:11" x14ac:dyDescent="0.25">
      <c r="B451"/>
      <c r="K451" s="427"/>
    </row>
    <row r="452" spans="2:11" x14ac:dyDescent="0.25">
      <c r="B452"/>
      <c r="K452" s="427"/>
    </row>
    <row r="453" spans="2:11" x14ac:dyDescent="0.25">
      <c r="B453"/>
      <c r="K453" s="427"/>
    </row>
    <row r="454" spans="2:11" x14ac:dyDescent="0.25">
      <c r="B454"/>
      <c r="K454" s="427"/>
    </row>
    <row r="455" spans="2:11" x14ac:dyDescent="0.25">
      <c r="B455"/>
      <c r="K455" s="427"/>
    </row>
    <row r="456" spans="2:11" x14ac:dyDescent="0.25">
      <c r="B456"/>
      <c r="K456" s="427"/>
    </row>
    <row r="457" spans="2:11" x14ac:dyDescent="0.25">
      <c r="B457"/>
      <c r="K457" s="427"/>
    </row>
    <row r="458" spans="2:11" x14ac:dyDescent="0.25">
      <c r="B458"/>
      <c r="K458" s="427"/>
    </row>
    <row r="459" spans="2:11" x14ac:dyDescent="0.25">
      <c r="B459"/>
      <c r="K459" s="427"/>
    </row>
    <row r="460" spans="2:11" x14ac:dyDescent="0.25">
      <c r="B460"/>
      <c r="K460" s="427"/>
    </row>
    <row r="461" spans="2:11" x14ac:dyDescent="0.25">
      <c r="B461"/>
      <c r="K461" s="427"/>
    </row>
    <row r="462" spans="2:11" x14ac:dyDescent="0.25">
      <c r="B462"/>
      <c r="K462" s="427"/>
    </row>
    <row r="463" spans="2:11" x14ac:dyDescent="0.25">
      <c r="B463"/>
      <c r="K463" s="427"/>
    </row>
    <row r="464" spans="2:11" x14ac:dyDescent="0.25">
      <c r="B464"/>
      <c r="K464" s="427"/>
    </row>
    <row r="465" spans="2:11" x14ac:dyDescent="0.25">
      <c r="B465"/>
      <c r="K465" s="427"/>
    </row>
    <row r="466" spans="2:11" x14ac:dyDescent="0.25">
      <c r="B466"/>
      <c r="K466" s="427"/>
    </row>
    <row r="467" spans="2:11" x14ac:dyDescent="0.25">
      <c r="B467"/>
      <c r="K467" s="427"/>
    </row>
    <row r="468" spans="2:11" x14ac:dyDescent="0.25">
      <c r="B468"/>
      <c r="K468" s="427"/>
    </row>
    <row r="469" spans="2:11" x14ac:dyDescent="0.25">
      <c r="B469"/>
      <c r="K469" s="427"/>
    </row>
    <row r="470" spans="2:11" x14ac:dyDescent="0.25">
      <c r="B470"/>
      <c r="K470" s="427"/>
    </row>
    <row r="471" spans="2:11" x14ac:dyDescent="0.25">
      <c r="B471"/>
      <c r="K471" s="427"/>
    </row>
    <row r="472" spans="2:11" x14ac:dyDescent="0.25">
      <c r="B472"/>
      <c r="K472" s="427"/>
    </row>
    <row r="473" spans="2:11" x14ac:dyDescent="0.25">
      <c r="B473"/>
      <c r="K473" s="427"/>
    </row>
    <row r="474" spans="2:11" x14ac:dyDescent="0.25">
      <c r="B474"/>
      <c r="K474" s="427"/>
    </row>
    <row r="475" spans="2:11" x14ac:dyDescent="0.25">
      <c r="B475"/>
      <c r="K475" s="427"/>
    </row>
    <row r="476" spans="2:11" x14ac:dyDescent="0.25">
      <c r="B476"/>
      <c r="K476" s="427"/>
    </row>
    <row r="477" spans="2:11" x14ac:dyDescent="0.25">
      <c r="B477"/>
      <c r="K477" s="427"/>
    </row>
    <row r="478" spans="2:11" x14ac:dyDescent="0.25">
      <c r="B478"/>
      <c r="K478" s="427"/>
    </row>
    <row r="479" spans="2:11" x14ac:dyDescent="0.25">
      <c r="B479"/>
      <c r="K479" s="427"/>
    </row>
    <row r="480" spans="2:11" x14ac:dyDescent="0.25">
      <c r="B480"/>
      <c r="K480" s="427"/>
    </row>
    <row r="481" spans="2:11" x14ac:dyDescent="0.25">
      <c r="B481"/>
      <c r="K481" s="427"/>
    </row>
    <row r="482" spans="2:11" x14ac:dyDescent="0.25">
      <c r="B482"/>
      <c r="K482" s="427"/>
    </row>
    <row r="483" spans="2:11" x14ac:dyDescent="0.25">
      <c r="B483"/>
      <c r="K483" s="427"/>
    </row>
    <row r="484" spans="2:11" x14ac:dyDescent="0.25">
      <c r="B484"/>
      <c r="K484" s="427"/>
    </row>
    <row r="485" spans="2:11" x14ac:dyDescent="0.25">
      <c r="B485"/>
      <c r="K485" s="427"/>
    </row>
    <row r="486" spans="2:11" x14ac:dyDescent="0.25">
      <c r="B486"/>
      <c r="K486" s="427"/>
    </row>
    <row r="487" spans="2:11" x14ac:dyDescent="0.25">
      <c r="B487"/>
      <c r="K487" s="427"/>
    </row>
    <row r="488" spans="2:11" x14ac:dyDescent="0.25">
      <c r="B488"/>
      <c r="K488" s="427"/>
    </row>
    <row r="489" spans="2:11" x14ac:dyDescent="0.25">
      <c r="B489"/>
      <c r="K489" s="427"/>
    </row>
    <row r="490" spans="2:11" x14ac:dyDescent="0.25">
      <c r="B490"/>
      <c r="K490" s="427"/>
    </row>
    <row r="491" spans="2:11" x14ac:dyDescent="0.25">
      <c r="B491"/>
      <c r="K491" s="427"/>
    </row>
    <row r="492" spans="2:11" x14ac:dyDescent="0.25">
      <c r="B492"/>
      <c r="K492" s="427"/>
    </row>
    <row r="493" spans="2:11" x14ac:dyDescent="0.25">
      <c r="B493"/>
      <c r="K493" s="427"/>
    </row>
    <row r="494" spans="2:11" x14ac:dyDescent="0.25">
      <c r="B494"/>
      <c r="K494" s="427"/>
    </row>
    <row r="495" spans="2:11" x14ac:dyDescent="0.25">
      <c r="B495"/>
      <c r="K495" s="427"/>
    </row>
    <row r="496" spans="2:11" x14ac:dyDescent="0.25">
      <c r="B496"/>
      <c r="K496" s="427"/>
    </row>
    <row r="497" spans="2:11" x14ac:dyDescent="0.25">
      <c r="B497"/>
      <c r="K497" s="427"/>
    </row>
    <row r="498" spans="2:11" x14ac:dyDescent="0.25">
      <c r="B498"/>
      <c r="K498" s="427"/>
    </row>
    <row r="499" spans="2:11" x14ac:dyDescent="0.25">
      <c r="B499"/>
      <c r="K499" s="427"/>
    </row>
    <row r="500" spans="2:11" x14ac:dyDescent="0.25">
      <c r="B500"/>
      <c r="K500" s="427"/>
    </row>
    <row r="501" spans="2:11" x14ac:dyDescent="0.25">
      <c r="B501"/>
      <c r="K501" s="427"/>
    </row>
    <row r="502" spans="2:11" x14ac:dyDescent="0.25">
      <c r="B502"/>
      <c r="K502" s="427"/>
    </row>
    <row r="503" spans="2:11" x14ac:dyDescent="0.25">
      <c r="B503"/>
      <c r="K503" s="427"/>
    </row>
    <row r="504" spans="2:11" x14ac:dyDescent="0.25">
      <c r="B504"/>
      <c r="K504" s="427"/>
    </row>
    <row r="505" spans="2:11" x14ac:dyDescent="0.25">
      <c r="B505"/>
      <c r="K505" s="427"/>
    </row>
    <row r="506" spans="2:11" x14ac:dyDescent="0.25">
      <c r="B506"/>
      <c r="K506" s="427"/>
    </row>
    <row r="507" spans="2:11" x14ac:dyDescent="0.25">
      <c r="B507"/>
      <c r="K507" s="427"/>
    </row>
    <row r="508" spans="2:11" x14ac:dyDescent="0.25">
      <c r="B508"/>
      <c r="K508" s="427"/>
    </row>
    <row r="509" spans="2:11" x14ac:dyDescent="0.25">
      <c r="B509"/>
      <c r="K509" s="427"/>
    </row>
    <row r="510" spans="2:11" x14ac:dyDescent="0.25">
      <c r="B510"/>
      <c r="K510" s="427"/>
    </row>
    <row r="511" spans="2:11" x14ac:dyDescent="0.25">
      <c r="B511"/>
      <c r="K511" s="427"/>
    </row>
    <row r="512" spans="2:11" x14ac:dyDescent="0.25">
      <c r="B512"/>
      <c r="K512" s="427"/>
    </row>
    <row r="513" spans="2:11" x14ac:dyDescent="0.25">
      <c r="B513"/>
      <c r="K513" s="427"/>
    </row>
    <row r="514" spans="2:11" x14ac:dyDescent="0.25">
      <c r="B514"/>
      <c r="K514" s="427"/>
    </row>
    <row r="515" spans="2:11" x14ac:dyDescent="0.25">
      <c r="B515"/>
      <c r="K515" s="427"/>
    </row>
    <row r="516" spans="2:11" x14ac:dyDescent="0.25">
      <c r="B516"/>
      <c r="K516" s="427"/>
    </row>
    <row r="517" spans="2:11" x14ac:dyDescent="0.25">
      <c r="B517"/>
      <c r="K517" s="427"/>
    </row>
    <row r="518" spans="2:11" x14ac:dyDescent="0.25">
      <c r="B518"/>
      <c r="K518" s="427"/>
    </row>
    <row r="519" spans="2:11" x14ac:dyDescent="0.25">
      <c r="B519"/>
      <c r="K519" s="427"/>
    </row>
    <row r="520" spans="2:11" x14ac:dyDescent="0.25">
      <c r="B520"/>
      <c r="K520" s="427"/>
    </row>
    <row r="521" spans="2:11" x14ac:dyDescent="0.25">
      <c r="B521"/>
      <c r="K521" s="427"/>
    </row>
    <row r="522" spans="2:11" x14ac:dyDescent="0.25">
      <c r="B522"/>
      <c r="K522" s="427"/>
    </row>
    <row r="523" spans="2:11" x14ac:dyDescent="0.25">
      <c r="B523"/>
      <c r="K523" s="427"/>
    </row>
    <row r="524" spans="2:11" x14ac:dyDescent="0.25">
      <c r="B524"/>
      <c r="K524" s="427"/>
    </row>
    <row r="525" spans="2:11" x14ac:dyDescent="0.25">
      <c r="B525"/>
      <c r="K525" s="427"/>
    </row>
    <row r="526" spans="2:11" x14ac:dyDescent="0.25">
      <c r="B526"/>
      <c r="K526" s="427"/>
    </row>
    <row r="527" spans="2:11" x14ac:dyDescent="0.25">
      <c r="B527"/>
      <c r="K527" s="427"/>
    </row>
    <row r="528" spans="2:11" x14ac:dyDescent="0.25">
      <c r="B528"/>
      <c r="K528" s="427"/>
    </row>
    <row r="529" spans="2:11" x14ac:dyDescent="0.25">
      <c r="B529"/>
      <c r="K529" s="427"/>
    </row>
    <row r="530" spans="2:11" x14ac:dyDescent="0.25">
      <c r="B530"/>
      <c r="K530" s="427"/>
    </row>
    <row r="531" spans="2:11" x14ac:dyDescent="0.25">
      <c r="B531"/>
      <c r="K531" s="427"/>
    </row>
    <row r="532" spans="2:11" x14ac:dyDescent="0.25">
      <c r="B532"/>
      <c r="K532" s="427"/>
    </row>
    <row r="533" spans="2:11" x14ac:dyDescent="0.25">
      <c r="B533"/>
      <c r="K533" s="427"/>
    </row>
    <row r="534" spans="2:11" x14ac:dyDescent="0.25">
      <c r="B534"/>
      <c r="K534" s="427"/>
    </row>
    <row r="535" spans="2:11" x14ac:dyDescent="0.25">
      <c r="B535"/>
      <c r="K535" s="427"/>
    </row>
    <row r="536" spans="2:11" x14ac:dyDescent="0.25">
      <c r="B536"/>
      <c r="K536" s="427"/>
    </row>
    <row r="537" spans="2:11" x14ac:dyDescent="0.25">
      <c r="B537"/>
      <c r="K537" s="427"/>
    </row>
    <row r="538" spans="2:11" x14ac:dyDescent="0.25">
      <c r="B538"/>
      <c r="K538" s="427"/>
    </row>
    <row r="539" spans="2:11" x14ac:dyDescent="0.25">
      <c r="B539"/>
      <c r="K539" s="427"/>
    </row>
    <row r="540" spans="2:11" x14ac:dyDescent="0.25">
      <c r="B540"/>
      <c r="K540" s="427"/>
    </row>
    <row r="541" spans="2:11" x14ac:dyDescent="0.25">
      <c r="B541"/>
      <c r="K541" s="427"/>
    </row>
    <row r="542" spans="2:11" x14ac:dyDescent="0.25">
      <c r="B542"/>
      <c r="K542" s="427"/>
    </row>
    <row r="543" spans="2:11" x14ac:dyDescent="0.25">
      <c r="B543"/>
      <c r="K543" s="427"/>
    </row>
    <row r="544" spans="2:11" x14ac:dyDescent="0.25">
      <c r="B544"/>
      <c r="K544" s="427"/>
    </row>
    <row r="545" spans="2:11" x14ac:dyDescent="0.25">
      <c r="B545"/>
      <c r="K545" s="427"/>
    </row>
    <row r="546" spans="2:11" x14ac:dyDescent="0.25">
      <c r="B546"/>
      <c r="K546" s="427"/>
    </row>
    <row r="547" spans="2:11" x14ac:dyDescent="0.25">
      <c r="B547"/>
      <c r="K547" s="427"/>
    </row>
    <row r="548" spans="2:11" x14ac:dyDescent="0.25">
      <c r="B548"/>
      <c r="K548" s="427"/>
    </row>
    <row r="549" spans="2:11" x14ac:dyDescent="0.25">
      <c r="B549"/>
      <c r="K549" s="427"/>
    </row>
    <row r="550" spans="2:11" x14ac:dyDescent="0.25">
      <c r="B550"/>
      <c r="K550" s="427"/>
    </row>
    <row r="551" spans="2:11" x14ac:dyDescent="0.25">
      <c r="B551"/>
      <c r="K551" s="427"/>
    </row>
    <row r="552" spans="2:11" x14ac:dyDescent="0.25">
      <c r="B552"/>
      <c r="K552" s="427"/>
    </row>
    <row r="553" spans="2:11" x14ac:dyDescent="0.25">
      <c r="B553"/>
      <c r="K553" s="427"/>
    </row>
    <row r="554" spans="2:11" x14ac:dyDescent="0.25">
      <c r="B554"/>
      <c r="K554" s="427"/>
    </row>
    <row r="555" spans="2:11" x14ac:dyDescent="0.25">
      <c r="B555"/>
      <c r="K555" s="427"/>
    </row>
    <row r="556" spans="2:11" x14ac:dyDescent="0.25">
      <c r="B556"/>
      <c r="K556" s="427"/>
    </row>
    <row r="557" spans="2:11" x14ac:dyDescent="0.25">
      <c r="B557"/>
      <c r="K557" s="427"/>
    </row>
    <row r="558" spans="2:11" x14ac:dyDescent="0.25">
      <c r="B558"/>
      <c r="K558" s="427"/>
    </row>
    <row r="559" spans="2:11" x14ac:dyDescent="0.25">
      <c r="B559"/>
      <c r="K559" s="427"/>
    </row>
    <row r="560" spans="2:11" x14ac:dyDescent="0.25">
      <c r="B560"/>
      <c r="K560" s="427"/>
    </row>
    <row r="561" spans="2:11" x14ac:dyDescent="0.25">
      <c r="B561"/>
      <c r="K561" s="427"/>
    </row>
    <row r="562" spans="2:11" x14ac:dyDescent="0.25">
      <c r="B562"/>
      <c r="K562" s="427"/>
    </row>
    <row r="563" spans="2:11" x14ac:dyDescent="0.25">
      <c r="B563"/>
      <c r="K563" s="427"/>
    </row>
    <row r="564" spans="2:11" x14ac:dyDescent="0.25">
      <c r="B564"/>
      <c r="K564" s="427"/>
    </row>
    <row r="565" spans="2:11" x14ac:dyDescent="0.25">
      <c r="B565"/>
      <c r="K565" s="427"/>
    </row>
    <row r="566" spans="2:11" x14ac:dyDescent="0.25">
      <c r="B566"/>
      <c r="K566" s="427"/>
    </row>
    <row r="567" spans="2:11" x14ac:dyDescent="0.25">
      <c r="B567"/>
      <c r="K567" s="427"/>
    </row>
    <row r="568" spans="2:11" x14ac:dyDescent="0.25">
      <c r="B568"/>
      <c r="K568" s="427"/>
    </row>
    <row r="569" spans="2:11" x14ac:dyDescent="0.25">
      <c r="B569"/>
      <c r="K569" s="427"/>
    </row>
    <row r="570" spans="2:11" x14ac:dyDescent="0.25">
      <c r="B570"/>
      <c r="K570" s="427"/>
    </row>
    <row r="571" spans="2:11" x14ac:dyDescent="0.25">
      <c r="B571"/>
      <c r="K571" s="427"/>
    </row>
    <row r="572" spans="2:11" x14ac:dyDescent="0.25">
      <c r="B572"/>
      <c r="K572" s="427"/>
    </row>
    <row r="573" spans="2:11" x14ac:dyDescent="0.25">
      <c r="B573"/>
      <c r="K573" s="427"/>
    </row>
    <row r="574" spans="2:11" x14ac:dyDescent="0.25">
      <c r="B574"/>
      <c r="K574" s="427"/>
    </row>
    <row r="575" spans="2:11" x14ac:dyDescent="0.25">
      <c r="B575"/>
      <c r="K575" s="427"/>
    </row>
    <row r="576" spans="2:11" x14ac:dyDescent="0.25">
      <c r="B576"/>
      <c r="K576" s="427"/>
    </row>
    <row r="577" spans="2:11" x14ac:dyDescent="0.25">
      <c r="B577"/>
      <c r="K577" s="427"/>
    </row>
    <row r="578" spans="2:11" x14ac:dyDescent="0.25">
      <c r="B578"/>
      <c r="K578" s="427"/>
    </row>
    <row r="579" spans="2:11" x14ac:dyDescent="0.25">
      <c r="B579"/>
      <c r="K579" s="427"/>
    </row>
    <row r="580" spans="2:11" x14ac:dyDescent="0.25">
      <c r="B580"/>
      <c r="K580" s="427"/>
    </row>
    <row r="581" spans="2:11" x14ac:dyDescent="0.25">
      <c r="B581"/>
      <c r="K581" s="427"/>
    </row>
    <row r="582" spans="2:11" x14ac:dyDescent="0.25">
      <c r="B582"/>
      <c r="K582" s="427"/>
    </row>
    <row r="583" spans="2:11" x14ac:dyDescent="0.25">
      <c r="B583"/>
      <c r="K583" s="427"/>
    </row>
    <row r="584" spans="2:11" x14ac:dyDescent="0.25">
      <c r="B584"/>
      <c r="K584" s="427"/>
    </row>
    <row r="585" spans="2:11" x14ac:dyDescent="0.25">
      <c r="B585"/>
      <c r="K585" s="427"/>
    </row>
    <row r="586" spans="2:11" x14ac:dyDescent="0.25">
      <c r="B586"/>
      <c r="K586" s="427"/>
    </row>
    <row r="587" spans="2:11" x14ac:dyDescent="0.25">
      <c r="B587"/>
      <c r="K587" s="427"/>
    </row>
    <row r="588" spans="2:11" x14ac:dyDescent="0.25">
      <c r="B588"/>
      <c r="K588" s="427"/>
    </row>
    <row r="589" spans="2:11" x14ac:dyDescent="0.25">
      <c r="B589"/>
      <c r="K589" s="427"/>
    </row>
    <row r="590" spans="2:11" x14ac:dyDescent="0.25">
      <c r="B590"/>
      <c r="K590" s="427"/>
    </row>
    <row r="591" spans="2:11" x14ac:dyDescent="0.25">
      <c r="B591"/>
      <c r="K591" s="427"/>
    </row>
    <row r="592" spans="2:11" x14ac:dyDescent="0.25">
      <c r="B592"/>
      <c r="K592" s="427"/>
    </row>
    <row r="593" spans="2:11" x14ac:dyDescent="0.25">
      <c r="B593"/>
      <c r="K593" s="427"/>
    </row>
    <row r="594" spans="2:11" x14ac:dyDescent="0.25">
      <c r="B594"/>
      <c r="K594" s="427"/>
    </row>
    <row r="595" spans="2:11" x14ac:dyDescent="0.25">
      <c r="B595"/>
      <c r="K595" s="427"/>
    </row>
    <row r="596" spans="2:11" x14ac:dyDescent="0.25">
      <c r="B596"/>
      <c r="K596" s="427"/>
    </row>
    <row r="597" spans="2:11" x14ac:dyDescent="0.25">
      <c r="B597"/>
      <c r="K597" s="427"/>
    </row>
    <row r="598" spans="2:11" x14ac:dyDescent="0.25">
      <c r="B598"/>
      <c r="K598" s="427"/>
    </row>
    <row r="599" spans="2:11" x14ac:dyDescent="0.25">
      <c r="B599"/>
      <c r="K599" s="427"/>
    </row>
    <row r="600" spans="2:11" x14ac:dyDescent="0.25">
      <c r="B600"/>
      <c r="K600" s="427"/>
    </row>
    <row r="601" spans="2:11" x14ac:dyDescent="0.25">
      <c r="B601"/>
      <c r="K601" s="427"/>
    </row>
    <row r="602" spans="2:11" x14ac:dyDescent="0.25">
      <c r="B602"/>
      <c r="K602" s="427"/>
    </row>
    <row r="603" spans="2:11" x14ac:dyDescent="0.25">
      <c r="B603"/>
      <c r="K603" s="427"/>
    </row>
    <row r="604" spans="2:11" x14ac:dyDescent="0.25">
      <c r="B604"/>
      <c r="K604" s="427"/>
    </row>
    <row r="605" spans="2:11" x14ac:dyDescent="0.25">
      <c r="B605"/>
      <c r="K605" s="427"/>
    </row>
    <row r="606" spans="2:11" x14ac:dyDescent="0.25">
      <c r="B606"/>
      <c r="K606" s="427"/>
    </row>
    <row r="607" spans="2:11" x14ac:dyDescent="0.25">
      <c r="B607"/>
      <c r="K607" s="427"/>
    </row>
    <row r="608" spans="2:11" x14ac:dyDescent="0.25">
      <c r="B608"/>
      <c r="K608" s="427"/>
    </row>
    <row r="609" spans="2:11" x14ac:dyDescent="0.25">
      <c r="B609"/>
      <c r="K609" s="427"/>
    </row>
    <row r="610" spans="2:11" x14ac:dyDescent="0.25">
      <c r="B610"/>
      <c r="K610" s="427"/>
    </row>
    <row r="611" spans="2:11" x14ac:dyDescent="0.25">
      <c r="B611"/>
      <c r="K611" s="427"/>
    </row>
    <row r="612" spans="2:11" x14ac:dyDescent="0.25">
      <c r="B612"/>
      <c r="K612" s="427"/>
    </row>
    <row r="613" spans="2:11" x14ac:dyDescent="0.25">
      <c r="B613"/>
      <c r="K613" s="427"/>
    </row>
    <row r="614" spans="2:11" x14ac:dyDescent="0.25">
      <c r="B614"/>
      <c r="K614" s="427"/>
    </row>
    <row r="615" spans="2:11" x14ac:dyDescent="0.25">
      <c r="B615"/>
      <c r="K615" s="427"/>
    </row>
    <row r="616" spans="2:11" x14ac:dyDescent="0.25">
      <c r="B616"/>
      <c r="K616" s="427"/>
    </row>
    <row r="617" spans="2:11" x14ac:dyDescent="0.25">
      <c r="B617"/>
      <c r="K617" s="427"/>
    </row>
    <row r="618" spans="2:11" x14ac:dyDescent="0.25">
      <c r="B618"/>
      <c r="K618" s="427"/>
    </row>
    <row r="619" spans="2:11" x14ac:dyDescent="0.25">
      <c r="B619"/>
      <c r="K619" s="427"/>
    </row>
    <row r="620" spans="2:11" x14ac:dyDescent="0.25">
      <c r="B620"/>
    </row>
    <row r="621" spans="2:11" x14ac:dyDescent="0.25">
      <c r="B621"/>
    </row>
    <row r="622" spans="2:11" x14ac:dyDescent="0.25">
      <c r="B622"/>
    </row>
    <row r="623" spans="2:11" x14ac:dyDescent="0.25">
      <c r="B623"/>
    </row>
    <row r="624" spans="2:11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</sheetData>
  <sortState ref="K142:K163">
    <sortCondition ref="K142"/>
  </sortState>
  <conditionalFormatting sqref="N3:N82">
    <cfRule type="containsText" dxfId="52" priority="30" operator="containsText" text="да">
      <formula>NOT(ISERROR(SEARCH("да",N3)))</formula>
    </cfRule>
  </conditionalFormatting>
  <conditionalFormatting sqref="C3:D29 C30:C31">
    <cfRule type="colorScale" priority="32">
      <colorScale>
        <cfvo type="min"/>
        <cfvo type="max"/>
        <color rgb="FFFCFCFF"/>
        <color rgb="FFF8696B"/>
      </colorScale>
    </cfRule>
  </conditionalFormatting>
  <conditionalFormatting sqref="C3:C43">
    <cfRule type="colorScale" priority="27">
      <colorScale>
        <cfvo type="min"/>
        <cfvo type="max"/>
        <color rgb="FFFCFCFF"/>
        <color rgb="FFF8696B"/>
      </colorScale>
    </cfRule>
  </conditionalFormatting>
  <conditionalFormatting sqref="L74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26">
    <cfRule type="containsText" dxfId="51" priority="20" operator="containsText" text="да">
      <formula>NOT(ISERROR(SEARCH("да",AS3)))</formula>
    </cfRule>
  </conditionalFormatting>
  <conditionalFormatting sqref="AU3:AU26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{C7D34160-D548-4385-86D8-DF98F5C2F692}</x14:id>
        </ext>
      </extLst>
    </cfRule>
  </conditionalFormatting>
  <conditionalFormatting sqref="AR3:AR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">
    <cfRule type="colorScale" priority="7">
      <colorScale>
        <cfvo type="min"/>
        <cfvo type="max"/>
        <color rgb="FFFFEF9C"/>
        <color rgb="FF63BE7B"/>
      </colorScale>
    </cfRule>
  </conditionalFormatting>
  <conditionalFormatting sqref="L52:L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{05266F49-31FE-4446-9A42-4F8259FA6B58}</x14:id>
        </ext>
      </extLst>
    </cfRule>
  </conditionalFormatting>
  <conditionalFormatting sqref="AV3:AX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:O82">
    <cfRule type="dataBar" priority="1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{20162AB7-09B2-468E-9A6E-5F52EC01D917}</x14:id>
        </ext>
      </extLst>
    </cfRule>
  </conditionalFormatting>
  <conditionalFormatting sqref="L3:L51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2579">
    <cfRule type="colorScale" priority="126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D34160-D548-4385-86D8-DF98F5C2F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AU3:AU26</xm:sqref>
        </x14:conditionalFormatting>
        <x14:conditionalFormatting xmlns:xm="http://schemas.microsoft.com/office/excel/2006/main">
          <x14:cfRule type="dataBar" id="{05266F49-31FE-4446-9A42-4F8259FA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AT3:AT26</xm:sqref>
        </x14:conditionalFormatting>
        <x14:conditionalFormatting xmlns:xm="http://schemas.microsoft.com/office/excel/2006/main">
          <x14:cfRule type="dataBar" id="{20162AB7-09B2-468E-9A6E-5F52EC01D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E5" sqref="E5"/>
    </sheetView>
  </sheetViews>
  <sheetFormatPr defaultRowHeight="21.75" customHeight="1" x14ac:dyDescent="0.25"/>
  <cols>
    <col min="1" max="1" width="12.85546875" customWidth="1"/>
    <col min="2" max="2" width="77.85546875" customWidth="1"/>
    <col min="3" max="5" width="12.85546875" customWidth="1"/>
    <col min="6" max="6" width="74.7109375" customWidth="1"/>
    <col min="7" max="77" width="12.85546875" customWidth="1"/>
  </cols>
  <sheetData>
    <row r="1" spans="1:2" ht="21.75" customHeight="1" x14ac:dyDescent="0.25">
      <c r="A1" s="1036" t="s">
        <v>2915</v>
      </c>
      <c r="B1" t="s">
        <v>2921</v>
      </c>
    </row>
    <row r="2" spans="1:2" ht="21.75" customHeight="1" x14ac:dyDescent="0.25">
      <c r="A2" s="1037" t="s">
        <v>931</v>
      </c>
      <c r="B2" t="s">
        <v>2918</v>
      </c>
    </row>
    <row r="3" spans="1:2" ht="21.75" customHeight="1" x14ac:dyDescent="0.25">
      <c r="A3" s="1037" t="s">
        <v>1868</v>
      </c>
      <c r="B3" t="s">
        <v>2918</v>
      </c>
    </row>
    <row r="4" spans="1:2" ht="32.25" customHeight="1" x14ac:dyDescent="0.25">
      <c r="A4" s="1037" t="s">
        <v>2916</v>
      </c>
      <c r="B4" t="s">
        <v>2922</v>
      </c>
    </row>
    <row r="5" spans="1:2" ht="84.75" customHeight="1" x14ac:dyDescent="0.25">
      <c r="A5" s="1037" t="s">
        <v>2917</v>
      </c>
      <c r="B5" s="1052" t="s">
        <v>2927</v>
      </c>
    </row>
    <row r="6" spans="1:2" ht="21.75" customHeight="1" x14ac:dyDescent="0.25">
      <c r="A6" s="1037" t="s">
        <v>2895</v>
      </c>
      <c r="B6" t="s">
        <v>2926</v>
      </c>
    </row>
    <row r="7" spans="1:2" ht="21.75" customHeight="1" x14ac:dyDescent="0.25">
      <c r="A7" s="1037" t="s">
        <v>2896</v>
      </c>
      <c r="B7" t="s">
        <v>2919</v>
      </c>
    </row>
    <row r="8" spans="1:2" ht="34.5" customHeight="1" x14ac:dyDescent="0.25">
      <c r="A8" s="1037" t="s">
        <v>2897</v>
      </c>
      <c r="B8" t="s">
        <v>2920</v>
      </c>
    </row>
    <row r="9" spans="1:2" ht="21.75" customHeight="1" x14ac:dyDescent="0.25">
      <c r="A9" s="1038" t="s">
        <v>1825</v>
      </c>
    </row>
    <row r="10" spans="1:2" ht="21.75" customHeight="1" x14ac:dyDescent="0.25">
      <c r="A10" s="1039" t="s">
        <v>1721</v>
      </c>
      <c r="B10" t="s">
        <v>2923</v>
      </c>
    </row>
    <row r="11" spans="1:2" ht="21.75" customHeight="1" x14ac:dyDescent="0.25">
      <c r="A11" s="1039" t="s">
        <v>1722</v>
      </c>
    </row>
    <row r="12" spans="1:2" ht="21.75" customHeight="1" x14ac:dyDescent="0.25">
      <c r="A12" s="1039" t="s">
        <v>1723</v>
      </c>
    </row>
    <row r="13" spans="1:2" ht="21.75" customHeight="1" x14ac:dyDescent="0.25">
      <c r="A13" s="1039" t="s">
        <v>1724</v>
      </c>
    </row>
    <row r="14" spans="1:2" ht="21.75" customHeight="1" x14ac:dyDescent="0.25">
      <c r="A14" s="1039" t="s">
        <v>2898</v>
      </c>
      <c r="B14" t="s">
        <v>2924</v>
      </c>
    </row>
    <row r="15" spans="1:2" ht="21.75" customHeight="1" x14ac:dyDescent="0.25">
      <c r="A15" s="1039" t="s">
        <v>2899</v>
      </c>
    </row>
    <row r="16" spans="1:2" ht="21.75" customHeight="1" x14ac:dyDescent="0.25">
      <c r="A16" s="1039" t="s">
        <v>2900</v>
      </c>
    </row>
    <row r="17" spans="1:2" ht="21.75" customHeight="1" x14ac:dyDescent="0.25">
      <c r="A17" s="1039" t="s">
        <v>2901</v>
      </c>
      <c r="B17" t="s">
        <v>2925</v>
      </c>
    </row>
    <row r="18" spans="1:2" ht="21.75" customHeight="1" x14ac:dyDescent="0.25">
      <c r="A18" s="1037" t="s">
        <v>933</v>
      </c>
    </row>
    <row r="19" spans="1:2" ht="21.75" customHeight="1" x14ac:dyDescent="0.25">
      <c r="A19" s="1037" t="s">
        <v>1870</v>
      </c>
    </row>
    <row r="20" spans="1:2" ht="21.75" customHeight="1" x14ac:dyDescent="0.25">
      <c r="A20" s="1037" t="s">
        <v>972</v>
      </c>
    </row>
    <row r="21" spans="1:2" ht="21.75" customHeight="1" x14ac:dyDescent="0.25">
      <c r="A21" s="1037" t="s">
        <v>1544</v>
      </c>
    </row>
    <row r="22" spans="1:2" ht="21.75" customHeight="1" x14ac:dyDescent="0.25">
      <c r="A22" s="1040" t="s">
        <v>1872</v>
      </c>
    </row>
    <row r="23" spans="1:2" ht="21.75" customHeight="1" x14ac:dyDescent="0.25">
      <c r="A23" s="1037" t="s">
        <v>983</v>
      </c>
    </row>
    <row r="24" spans="1:2" ht="21.75" customHeight="1" x14ac:dyDescent="0.25">
      <c r="A24" s="1037" t="s">
        <v>1489</v>
      </c>
    </row>
    <row r="25" spans="1:2" ht="21.75" customHeight="1" x14ac:dyDescent="0.25">
      <c r="A25" s="1037" t="s">
        <v>1873</v>
      </c>
    </row>
    <row r="26" spans="1:2" ht="21.75" customHeight="1" x14ac:dyDescent="0.25">
      <c r="A26" s="1037" t="s">
        <v>1490</v>
      </c>
    </row>
    <row r="27" spans="1:2" ht="21.75" customHeight="1" x14ac:dyDescent="0.25">
      <c r="A27" s="1037" t="s">
        <v>1874</v>
      </c>
    </row>
    <row r="28" spans="1:2" ht="21.75" customHeight="1" x14ac:dyDescent="0.25">
      <c r="A28" s="1037" t="s">
        <v>1495</v>
      </c>
    </row>
    <row r="29" spans="1:2" ht="21.75" customHeight="1" x14ac:dyDescent="0.25">
      <c r="A29" s="1037" t="s">
        <v>1875</v>
      </c>
    </row>
    <row r="30" spans="1:2" ht="21.75" customHeight="1" x14ac:dyDescent="0.25">
      <c r="A30" s="1037" t="s">
        <v>1494</v>
      </c>
      <c r="B30" t="s">
        <v>2928</v>
      </c>
    </row>
    <row r="31" spans="1:2" ht="21.75" customHeight="1" x14ac:dyDescent="0.25">
      <c r="A31" s="1037" t="s">
        <v>1876</v>
      </c>
    </row>
    <row r="32" spans="1:2" ht="21.75" customHeight="1" x14ac:dyDescent="0.25">
      <c r="A32" s="1037" t="s">
        <v>988</v>
      </c>
      <c r="B32" t="s">
        <v>2929</v>
      </c>
    </row>
    <row r="33" spans="1:2" ht="21.75" customHeight="1" x14ac:dyDescent="0.25">
      <c r="A33" s="1037" t="s">
        <v>1954</v>
      </c>
    </row>
    <row r="34" spans="1:2" ht="21.75" customHeight="1" x14ac:dyDescent="0.25">
      <c r="A34" s="1037" t="s">
        <v>989</v>
      </c>
      <c r="B34" t="s">
        <v>2929</v>
      </c>
    </row>
    <row r="35" spans="1:2" ht="21.75" customHeight="1" x14ac:dyDescent="0.25">
      <c r="A35" s="1037" t="s">
        <v>1955</v>
      </c>
    </row>
    <row r="36" spans="1:2" ht="21.75" customHeight="1" x14ac:dyDescent="0.25">
      <c r="A36" s="1037" t="s">
        <v>990</v>
      </c>
      <c r="B36" t="s">
        <v>2929</v>
      </c>
    </row>
    <row r="37" spans="1:2" ht="21.75" customHeight="1" x14ac:dyDescent="0.25">
      <c r="A37" s="1037" t="s">
        <v>1956</v>
      </c>
    </row>
    <row r="38" spans="1:2" ht="21.75" customHeight="1" x14ac:dyDescent="0.25">
      <c r="A38" s="1041" t="s">
        <v>1162</v>
      </c>
    </row>
    <row r="39" spans="1:2" ht="21.75" customHeight="1" x14ac:dyDescent="0.25">
      <c r="A39" s="1037" t="s">
        <v>935</v>
      </c>
    </row>
    <row r="40" spans="1:2" ht="21.75" customHeight="1" x14ac:dyDescent="0.25">
      <c r="A40" s="1037" t="s">
        <v>936</v>
      </c>
    </row>
    <row r="41" spans="1:2" ht="21.75" customHeight="1" x14ac:dyDescent="0.25">
      <c r="A41" s="1037" t="s">
        <v>1878</v>
      </c>
    </row>
    <row r="42" spans="1:2" ht="21.75" customHeight="1" x14ac:dyDescent="0.25">
      <c r="A42" s="1037" t="s">
        <v>937</v>
      </c>
    </row>
    <row r="43" spans="1:2" ht="21.75" customHeight="1" x14ac:dyDescent="0.25">
      <c r="A43" s="1037" t="s">
        <v>1877</v>
      </c>
    </row>
    <row r="44" spans="1:2" ht="21.75" customHeight="1" x14ac:dyDescent="0.25">
      <c r="A44" s="1037" t="s">
        <v>938</v>
      </c>
    </row>
    <row r="45" spans="1:2" ht="21.75" customHeight="1" x14ac:dyDescent="0.25">
      <c r="A45" s="1037" t="s">
        <v>939</v>
      </c>
      <c r="B45" t="s">
        <v>2930</v>
      </c>
    </row>
    <row r="46" spans="1:2" ht="21.75" customHeight="1" x14ac:dyDescent="0.25">
      <c r="A46" s="1040" t="s">
        <v>940</v>
      </c>
      <c r="B46" t="s">
        <v>2930</v>
      </c>
    </row>
    <row r="47" spans="1:2" ht="21.75" customHeight="1" x14ac:dyDescent="0.25">
      <c r="A47" s="1042" t="s">
        <v>1569</v>
      </c>
    </row>
    <row r="48" spans="1:2" ht="21.75" customHeight="1" x14ac:dyDescent="0.25">
      <c r="A48" s="1042" t="s">
        <v>1824</v>
      </c>
    </row>
    <row r="49" spans="1:2" ht="21.75" customHeight="1" x14ac:dyDescent="0.25">
      <c r="A49" s="1042" t="s">
        <v>1526</v>
      </c>
    </row>
    <row r="50" spans="1:2" ht="21.75" customHeight="1" x14ac:dyDescent="0.25">
      <c r="A50" s="1042" t="s">
        <v>1525</v>
      </c>
    </row>
    <row r="51" spans="1:2" ht="21.75" customHeight="1" x14ac:dyDescent="0.25">
      <c r="A51" s="1042" t="s">
        <v>1493</v>
      </c>
    </row>
    <row r="52" spans="1:2" ht="21.75" customHeight="1" x14ac:dyDescent="0.25">
      <c r="A52" s="1043" t="s">
        <v>2902</v>
      </c>
      <c r="B52" t="s">
        <v>2902</v>
      </c>
    </row>
    <row r="53" spans="1:2" ht="21.75" customHeight="1" x14ac:dyDescent="0.25">
      <c r="A53" s="1044" t="s">
        <v>2903</v>
      </c>
      <c r="B53" t="s">
        <v>2903</v>
      </c>
    </row>
    <row r="54" spans="1:2" ht="21.75" customHeight="1" x14ac:dyDescent="0.25">
      <c r="A54" s="1045" t="s">
        <v>1529</v>
      </c>
      <c r="B54" t="s">
        <v>2902</v>
      </c>
    </row>
    <row r="55" spans="1:2" ht="21.75" customHeight="1" x14ac:dyDescent="0.25">
      <c r="A55" s="1045" t="s">
        <v>1530</v>
      </c>
      <c r="B55" t="s">
        <v>2903</v>
      </c>
    </row>
    <row r="56" spans="1:2" ht="21.75" customHeight="1" x14ac:dyDescent="0.25">
      <c r="A56" s="1046" t="s">
        <v>1466</v>
      </c>
      <c r="B56" t="s">
        <v>2931</v>
      </c>
    </row>
    <row r="57" spans="1:2" ht="21.75" customHeight="1" x14ac:dyDescent="0.25">
      <c r="A57" s="1046" t="s">
        <v>1497</v>
      </c>
      <c r="B57" t="s">
        <v>2929</v>
      </c>
    </row>
    <row r="58" spans="1:2" ht="21.75" customHeight="1" x14ac:dyDescent="0.25">
      <c r="A58" s="1046" t="s">
        <v>1498</v>
      </c>
      <c r="B58" t="s">
        <v>2929</v>
      </c>
    </row>
    <row r="59" spans="1:2" ht="21.75" customHeight="1" x14ac:dyDescent="0.25">
      <c r="A59" s="1046" t="s">
        <v>1499</v>
      </c>
      <c r="B59" t="s">
        <v>2929</v>
      </c>
    </row>
    <row r="60" spans="1:2" ht="21.75" customHeight="1" x14ac:dyDescent="0.25">
      <c r="A60" s="1047" t="s">
        <v>1492</v>
      </c>
      <c r="B60" t="s">
        <v>2931</v>
      </c>
    </row>
    <row r="61" spans="1:2" ht="21.75" customHeight="1" x14ac:dyDescent="0.25">
      <c r="A61" s="1048" t="s">
        <v>1465</v>
      </c>
      <c r="B61" t="s">
        <v>2931</v>
      </c>
    </row>
    <row r="62" spans="1:2" ht="21.75" customHeight="1" x14ac:dyDescent="0.25">
      <c r="A62" s="1042" t="s">
        <v>1496</v>
      </c>
      <c r="B62" t="s">
        <v>2931</v>
      </c>
    </row>
    <row r="63" spans="1:2" ht="21.75" customHeight="1" x14ac:dyDescent="0.25">
      <c r="A63" s="1049" t="s">
        <v>1581</v>
      </c>
    </row>
    <row r="64" spans="1:2" ht="21.75" customHeight="1" x14ac:dyDescent="0.25">
      <c r="A64" s="1049" t="s">
        <v>1563</v>
      </c>
    </row>
    <row r="65" spans="1:2" ht="21.75" customHeight="1" x14ac:dyDescent="0.25">
      <c r="A65" s="1050" t="s">
        <v>2932</v>
      </c>
      <c r="B65" t="s">
        <v>2932</v>
      </c>
    </row>
    <row r="66" spans="1:2" ht="21.75" customHeight="1" x14ac:dyDescent="0.25">
      <c r="A66" s="1037" t="s">
        <v>1165</v>
      </c>
      <c r="B66" t="s">
        <v>2933</v>
      </c>
    </row>
    <row r="67" spans="1:2" ht="21.75" customHeight="1" x14ac:dyDescent="0.25">
      <c r="A67" s="1050" t="s">
        <v>2904</v>
      </c>
      <c r="B67" t="s">
        <v>2904</v>
      </c>
    </row>
    <row r="68" spans="1:2" ht="21.75" customHeight="1" x14ac:dyDescent="0.25">
      <c r="A68" s="1050" t="s">
        <v>2905</v>
      </c>
      <c r="B68" t="s">
        <v>2934</v>
      </c>
    </row>
    <row r="69" spans="1:2" ht="21.75" customHeight="1" x14ac:dyDescent="0.25">
      <c r="A69" s="1050" t="s">
        <v>2906</v>
      </c>
      <c r="B69" t="s">
        <v>2934</v>
      </c>
    </row>
    <row r="70" spans="1:2" ht="21.75" customHeight="1" x14ac:dyDescent="0.25">
      <c r="A70" s="1050" t="s">
        <v>2907</v>
      </c>
      <c r="B70" t="s">
        <v>2934</v>
      </c>
    </row>
    <row r="71" spans="1:2" ht="21.75" customHeight="1" x14ac:dyDescent="0.25">
      <c r="A71" s="1050" t="s">
        <v>2908</v>
      </c>
      <c r="B71" t="s">
        <v>2934</v>
      </c>
    </row>
    <row r="72" spans="1:2" ht="21.75" customHeight="1" x14ac:dyDescent="0.25">
      <c r="A72" s="1050" t="s">
        <v>2909</v>
      </c>
      <c r="B72" t="s">
        <v>2935</v>
      </c>
    </row>
    <row r="73" spans="1:2" ht="21.75" customHeight="1" x14ac:dyDescent="0.25">
      <c r="A73" s="1037" t="s">
        <v>2910</v>
      </c>
      <c r="B73" t="s">
        <v>2935</v>
      </c>
    </row>
    <row r="74" spans="1:2" ht="21.75" customHeight="1" x14ac:dyDescent="0.25">
      <c r="A74" s="1037" t="s">
        <v>2911</v>
      </c>
      <c r="B74" t="s">
        <v>2935</v>
      </c>
    </row>
    <row r="75" spans="1:2" ht="21.75" customHeight="1" x14ac:dyDescent="0.25">
      <c r="A75" s="1050" t="s">
        <v>2912</v>
      </c>
      <c r="B75" t="s">
        <v>2936</v>
      </c>
    </row>
    <row r="76" spans="1:2" ht="21.75" customHeight="1" x14ac:dyDescent="0.25">
      <c r="A76" s="1050" t="s">
        <v>2913</v>
      </c>
      <c r="B76" t="s">
        <v>2936</v>
      </c>
    </row>
    <row r="77" spans="1:2" ht="21.75" customHeight="1" x14ac:dyDescent="0.25">
      <c r="A77" s="1051" t="s">
        <v>2914</v>
      </c>
      <c r="B77" t="s">
        <v>2937</v>
      </c>
    </row>
  </sheetData>
  <conditionalFormatting sqref="A54:A55">
    <cfRule type="colorScale" priority="4">
      <colorScale>
        <cfvo type="min"/>
        <cfvo type="max"/>
        <color rgb="FFFFEF9C"/>
        <color rgb="FF63BE7B"/>
      </colorScale>
    </cfRule>
  </conditionalFormatting>
  <conditionalFormatting sqref="A52:A64">
    <cfRule type="containsBlanks" dxfId="0" priority="3">
      <formula>LEN(TRIM(A52))=0</formula>
    </cfRule>
  </conditionalFormatting>
  <conditionalFormatting sqref="A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A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A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">
    <cfRule type="colorScale" priority="7">
      <colorScale>
        <cfvo type="min"/>
        <cfvo type="max"/>
        <color rgb="FFFCFCFF"/>
        <color rgb="FF63BE7B"/>
      </colorScale>
    </cfRule>
  </conditionalFormatting>
  <conditionalFormatting sqref="A47:A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9"/>
  <sheetViews>
    <sheetView workbookViewId="0">
      <selection activeCell="F21" sqref="F21"/>
    </sheetView>
  </sheetViews>
  <sheetFormatPr defaultRowHeight="15" x14ac:dyDescent="0.25"/>
  <cols>
    <col min="2" max="2" width="35.42578125" bestFit="1" customWidth="1"/>
    <col min="3" max="3" width="61.42578125" bestFit="1" customWidth="1"/>
  </cols>
  <sheetData>
    <row r="2" spans="2:3" x14ac:dyDescent="0.25">
      <c r="B2" t="s">
        <v>2941</v>
      </c>
    </row>
    <row r="3" spans="2:3" x14ac:dyDescent="0.25">
      <c r="B3" s="428" t="s">
        <v>996</v>
      </c>
      <c r="C3" t="s">
        <v>2940</v>
      </c>
    </row>
    <row r="4" spans="2:3" x14ac:dyDescent="0.25">
      <c r="B4" s="428" t="s">
        <v>1138</v>
      </c>
      <c r="C4" t="s">
        <v>2940</v>
      </c>
    </row>
    <row r="5" spans="2:3" x14ac:dyDescent="0.25">
      <c r="B5" s="428" t="s">
        <v>1095</v>
      </c>
      <c r="C5" t="s">
        <v>2940</v>
      </c>
    </row>
    <row r="6" spans="2:3" x14ac:dyDescent="0.25">
      <c r="B6" s="428" t="s">
        <v>1099</v>
      </c>
      <c r="C6" t="s">
        <v>2940</v>
      </c>
    </row>
    <row r="7" spans="2:3" x14ac:dyDescent="0.25">
      <c r="B7" s="428" t="s">
        <v>1127</v>
      </c>
      <c r="C7" t="s">
        <v>2940</v>
      </c>
    </row>
    <row r="8" spans="2:3" x14ac:dyDescent="0.25">
      <c r="B8" s="428" t="s">
        <v>1439</v>
      </c>
      <c r="C8" t="s">
        <v>2940</v>
      </c>
    </row>
    <row r="9" spans="2:3" x14ac:dyDescent="0.25">
      <c r="B9" s="428" t="s">
        <v>1128</v>
      </c>
    </row>
    <row r="10" spans="2:3" x14ac:dyDescent="0.25">
      <c r="B10" s="428" t="s">
        <v>1194</v>
      </c>
    </row>
    <row r="11" spans="2:3" x14ac:dyDescent="0.25">
      <c r="B11" s="428" t="s">
        <v>1443</v>
      </c>
    </row>
    <row r="12" spans="2:3" x14ac:dyDescent="0.25">
      <c r="B12" s="428" t="s">
        <v>1472</v>
      </c>
    </row>
    <row r="13" spans="2:3" x14ac:dyDescent="0.25">
      <c r="B13" s="428" t="s">
        <v>1063</v>
      </c>
    </row>
    <row r="14" spans="2:3" x14ac:dyDescent="0.25">
      <c r="B14" s="428" t="s">
        <v>1156</v>
      </c>
    </row>
    <row r="15" spans="2:3" x14ac:dyDescent="0.25">
      <c r="B15" s="428" t="s">
        <v>987</v>
      </c>
    </row>
    <row r="16" spans="2:3" x14ac:dyDescent="0.25">
      <c r="B16" s="428" t="s">
        <v>1021</v>
      </c>
    </row>
    <row r="17" spans="2:2" x14ac:dyDescent="0.25">
      <c r="B17" s="1035" t="s">
        <v>2105</v>
      </c>
    </row>
    <row r="18" spans="2:2" x14ac:dyDescent="0.25">
      <c r="B18" s="428" t="s">
        <v>1507</v>
      </c>
    </row>
    <row r="19" spans="2:2" x14ac:dyDescent="0.25">
      <c r="B19" s="427" t="s">
        <v>1664</v>
      </c>
    </row>
    <row r="20" spans="2:2" x14ac:dyDescent="0.25">
      <c r="B20" s="428" t="s">
        <v>1438</v>
      </c>
    </row>
    <row r="21" spans="2:2" x14ac:dyDescent="0.25">
      <c r="B21" s="428" t="s">
        <v>1152</v>
      </c>
    </row>
    <row r="22" spans="2:2" x14ac:dyDescent="0.25">
      <c r="B22" s="428" t="s">
        <v>1514</v>
      </c>
    </row>
    <row r="23" spans="2:2" x14ac:dyDescent="0.25">
      <c r="B23" s="428" t="s">
        <v>1059</v>
      </c>
    </row>
    <row r="24" spans="2:2" x14ac:dyDescent="0.25">
      <c r="B24" s="428" t="s">
        <v>1528</v>
      </c>
    </row>
    <row r="25" spans="2:2" x14ac:dyDescent="0.25">
      <c r="B25" s="428" t="s">
        <v>1090</v>
      </c>
    </row>
    <row r="26" spans="2:2" x14ac:dyDescent="0.25">
      <c r="B26" s="428" t="s">
        <v>1036</v>
      </c>
    </row>
    <row r="27" spans="2:2" x14ac:dyDescent="0.25">
      <c r="B27" s="428" t="s">
        <v>1160</v>
      </c>
    </row>
    <row r="28" spans="2:2" x14ac:dyDescent="0.25">
      <c r="B28" s="448" t="s">
        <v>985</v>
      </c>
    </row>
    <row r="29" spans="2:2" x14ac:dyDescent="0.25">
      <c r="B29" s="428" t="s">
        <v>1435</v>
      </c>
    </row>
    <row r="30" spans="2:2" x14ac:dyDescent="0.25">
      <c r="B30" s="428" t="s">
        <v>1103</v>
      </c>
    </row>
    <row r="31" spans="2:2" x14ac:dyDescent="0.25">
      <c r="B31" s="428" t="s">
        <v>994</v>
      </c>
    </row>
    <row r="32" spans="2:2" x14ac:dyDescent="0.25">
      <c r="B32" s="700" t="s">
        <v>1864</v>
      </c>
    </row>
    <row r="33" spans="2:2" x14ac:dyDescent="0.25">
      <c r="B33" s="428" t="s">
        <v>1442</v>
      </c>
    </row>
    <row r="34" spans="2:2" x14ac:dyDescent="0.25">
      <c r="B34" s="428" t="s">
        <v>1098</v>
      </c>
    </row>
    <row r="35" spans="2:2" x14ac:dyDescent="0.25">
      <c r="B35" s="427" t="s">
        <v>1579</v>
      </c>
    </row>
    <row r="36" spans="2:2" x14ac:dyDescent="0.25">
      <c r="B36" s="428" t="s">
        <v>1513</v>
      </c>
    </row>
    <row r="37" spans="2:2" x14ac:dyDescent="0.25">
      <c r="B37" s="428" t="s">
        <v>1508</v>
      </c>
    </row>
    <row r="38" spans="2:2" x14ac:dyDescent="0.25">
      <c r="B38" s="428" t="s">
        <v>1441</v>
      </c>
    </row>
    <row r="39" spans="2:2" x14ac:dyDescent="0.25">
      <c r="B39" s="428" t="s">
        <v>1509</v>
      </c>
    </row>
    <row r="40" spans="2:2" x14ac:dyDescent="0.25">
      <c r="B40" s="427" t="s">
        <v>1550</v>
      </c>
    </row>
    <row r="41" spans="2:2" x14ac:dyDescent="0.25">
      <c r="B41" s="428" t="s">
        <v>1510</v>
      </c>
    </row>
    <row r="42" spans="2:2" x14ac:dyDescent="0.25">
      <c r="B42" s="428" t="s">
        <v>1020</v>
      </c>
    </row>
    <row r="43" spans="2:2" x14ac:dyDescent="0.25">
      <c r="B43" s="428" t="s">
        <v>1208</v>
      </c>
    </row>
    <row r="44" spans="2:2" x14ac:dyDescent="0.25">
      <c r="B44" s="428" t="s">
        <v>1476</v>
      </c>
    </row>
    <row r="45" spans="2:2" x14ac:dyDescent="0.25">
      <c r="B45" s="428" t="s">
        <v>1511</v>
      </c>
    </row>
    <row r="46" spans="2:2" x14ac:dyDescent="0.25">
      <c r="B46" s="428" t="s">
        <v>1440</v>
      </c>
    </row>
    <row r="47" spans="2:2" x14ac:dyDescent="0.25">
      <c r="B47" s="844" t="s">
        <v>2309</v>
      </c>
    </row>
    <row r="48" spans="2:2" x14ac:dyDescent="0.25">
      <c r="B48" s="428" t="s">
        <v>1512</v>
      </c>
    </row>
    <row r="49" spans="2:2" x14ac:dyDescent="0.25">
      <c r="B49" s="428" t="s">
        <v>1143</v>
      </c>
    </row>
    <row r="50" spans="2:2" x14ac:dyDescent="0.25">
      <c r="B50" s="421" t="s">
        <v>1467</v>
      </c>
    </row>
    <row r="51" spans="2:2" x14ac:dyDescent="0.25">
      <c r="B51" s="421" t="s">
        <v>1692</v>
      </c>
    </row>
    <row r="52" spans="2:2" x14ac:dyDescent="0.25">
      <c r="B52" s="421" t="s">
        <v>1694</v>
      </c>
    </row>
    <row r="53" spans="2:2" x14ac:dyDescent="0.25">
      <c r="B53" s="421" t="s">
        <v>1469</v>
      </c>
    </row>
    <row r="54" spans="2:2" x14ac:dyDescent="0.25">
      <c r="B54" s="421" t="s">
        <v>1689</v>
      </c>
    </row>
    <row r="55" spans="2:2" x14ac:dyDescent="0.25">
      <c r="B55" s="421" t="s">
        <v>1473</v>
      </c>
    </row>
    <row r="56" spans="2:2" x14ac:dyDescent="0.25">
      <c r="B56" s="421" t="s">
        <v>1686</v>
      </c>
    </row>
    <row r="57" spans="2:2" x14ac:dyDescent="0.25">
      <c r="B57" s="421" t="s">
        <v>1691</v>
      </c>
    </row>
    <row r="58" spans="2:2" x14ac:dyDescent="0.25">
      <c r="B58" s="427" t="s">
        <v>1474</v>
      </c>
    </row>
    <row r="59" spans="2:2" x14ac:dyDescent="0.25">
      <c r="B59" s="421" t="s">
        <v>2357</v>
      </c>
    </row>
    <row r="60" spans="2:2" x14ac:dyDescent="0.25">
      <c r="B60" s="421" t="s">
        <v>1470</v>
      </c>
    </row>
    <row r="61" spans="2:2" x14ac:dyDescent="0.25">
      <c r="B61" s="421" t="s">
        <v>1688</v>
      </c>
    </row>
    <row r="62" spans="2:2" x14ac:dyDescent="0.25">
      <c r="B62" s="421" t="s">
        <v>1687</v>
      </c>
    </row>
    <row r="63" spans="2:2" x14ac:dyDescent="0.25">
      <c r="B63" s="421" t="s">
        <v>1690</v>
      </c>
    </row>
    <row r="64" spans="2:2" x14ac:dyDescent="0.25">
      <c r="B64" s="421" t="s">
        <v>1471</v>
      </c>
    </row>
    <row r="65" spans="2:2" x14ac:dyDescent="0.25">
      <c r="B65" s="421" t="s">
        <v>1696</v>
      </c>
    </row>
    <row r="66" spans="2:2" x14ac:dyDescent="0.25">
      <c r="B66" s="421" t="s">
        <v>1698</v>
      </c>
    </row>
    <row r="67" spans="2:2" x14ac:dyDescent="0.25">
      <c r="B67" s="421" t="s">
        <v>1685</v>
      </c>
    </row>
    <row r="68" spans="2:2" x14ac:dyDescent="0.25">
      <c r="B68" s="421" t="s">
        <v>1468</v>
      </c>
    </row>
    <row r="69" spans="2:2" x14ac:dyDescent="0.25">
      <c r="B69" s="421" t="s">
        <v>1693</v>
      </c>
    </row>
    <row r="70" spans="2:2" x14ac:dyDescent="0.25">
      <c r="B70" s="421" t="s">
        <v>1950</v>
      </c>
    </row>
    <row r="71" spans="2:2" x14ac:dyDescent="0.25">
      <c r="B71" s="421" t="s">
        <v>1683</v>
      </c>
    </row>
    <row r="72" spans="2:2" x14ac:dyDescent="0.25">
      <c r="B72" s="421" t="s">
        <v>2136</v>
      </c>
    </row>
    <row r="73" spans="2:2" x14ac:dyDescent="0.25">
      <c r="B73" s="421" t="s">
        <v>2000</v>
      </c>
    </row>
    <row r="74" spans="2:2" x14ac:dyDescent="0.25">
      <c r="B74" s="421" t="s">
        <v>2002</v>
      </c>
    </row>
    <row r="75" spans="2:2" x14ac:dyDescent="0.25">
      <c r="B75" s="421" t="s">
        <v>2001</v>
      </c>
    </row>
    <row r="76" spans="2:2" x14ac:dyDescent="0.25">
      <c r="B76" s="421" t="s">
        <v>2003</v>
      </c>
    </row>
    <row r="77" spans="2:2" x14ac:dyDescent="0.25">
      <c r="B77" s="421" t="s">
        <v>2006</v>
      </c>
    </row>
    <row r="78" spans="2:2" x14ac:dyDescent="0.25">
      <c r="B78" s="421" t="s">
        <v>2007</v>
      </c>
    </row>
    <row r="79" spans="2:2" x14ac:dyDescent="0.25">
      <c r="B79" s="421" t="s">
        <v>1986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2"/>
  <sheetViews>
    <sheetView topLeftCell="A1153" workbookViewId="0">
      <selection activeCell="A1178" sqref="A1178"/>
    </sheetView>
  </sheetViews>
  <sheetFormatPr defaultRowHeight="15" x14ac:dyDescent="0.25"/>
  <sheetData>
    <row r="1" spans="1:1" x14ac:dyDescent="0.25">
      <c r="A1" t="s">
        <v>527</v>
      </c>
    </row>
    <row r="3" spans="1:1" x14ac:dyDescent="0.25">
      <c r="A3" t="s">
        <v>528</v>
      </c>
    </row>
    <row r="4" spans="1:1" x14ac:dyDescent="0.25">
      <c r="A4" t="s">
        <v>69</v>
      </c>
    </row>
    <row r="5" spans="1:1" x14ac:dyDescent="0.25">
      <c r="A5" t="s">
        <v>529</v>
      </c>
    </row>
    <row r="6" spans="1:1" x14ac:dyDescent="0.25">
      <c r="A6" t="s">
        <v>530</v>
      </c>
    </row>
    <row r="7" spans="1:1" x14ac:dyDescent="0.25">
      <c r="A7" t="s">
        <v>531</v>
      </c>
    </row>
    <row r="8" spans="1:1" x14ac:dyDescent="0.25">
      <c r="A8" t="s">
        <v>853</v>
      </c>
    </row>
    <row r="9" spans="1:1" x14ac:dyDescent="0.25">
      <c r="A9" t="s">
        <v>854</v>
      </c>
    </row>
    <row r="10" spans="1:1" x14ac:dyDescent="0.25">
      <c r="A10" t="s">
        <v>855</v>
      </c>
    </row>
    <row r="11" spans="1:1" x14ac:dyDescent="0.25">
      <c r="A11" t="s">
        <v>856</v>
      </c>
    </row>
    <row r="12" spans="1:1" x14ac:dyDescent="0.25">
      <c r="A12" t="s">
        <v>857</v>
      </c>
    </row>
    <row r="13" spans="1:1" x14ac:dyDescent="0.25">
      <c r="A13" t="s">
        <v>138</v>
      </c>
    </row>
    <row r="15" spans="1:1" x14ac:dyDescent="0.25">
      <c r="A15" t="s">
        <v>533</v>
      </c>
    </row>
    <row r="16" spans="1:1" x14ac:dyDescent="0.25">
      <c r="A16" t="s">
        <v>74</v>
      </c>
    </row>
    <row r="18" spans="1:1" x14ac:dyDescent="0.25">
      <c r="A18" t="s">
        <v>69</v>
      </c>
    </row>
    <row r="20" spans="1:1" x14ac:dyDescent="0.25">
      <c r="A20" t="s">
        <v>75</v>
      </c>
    </row>
    <row r="21" spans="1:1" x14ac:dyDescent="0.25">
      <c r="A21" t="s">
        <v>534</v>
      </c>
    </row>
    <row r="22" spans="1:1" x14ac:dyDescent="0.25">
      <c r="A22" t="s">
        <v>76</v>
      </c>
    </row>
    <row r="24" spans="1:1" x14ac:dyDescent="0.25">
      <c r="A24" t="s">
        <v>77</v>
      </c>
    </row>
    <row r="25" spans="1:1" x14ac:dyDescent="0.25">
      <c r="A25" t="s">
        <v>78</v>
      </c>
    </row>
    <row r="26" spans="1:1" x14ac:dyDescent="0.25">
      <c r="A26" t="s">
        <v>79</v>
      </c>
    </row>
    <row r="27" spans="1:1" x14ac:dyDescent="0.25">
      <c r="A27" t="s">
        <v>80</v>
      </c>
    </row>
    <row r="28" spans="1:1" x14ac:dyDescent="0.25">
      <c r="A28" t="s">
        <v>81</v>
      </c>
    </row>
    <row r="30" spans="1:1" x14ac:dyDescent="0.25">
      <c r="A30" t="s">
        <v>858</v>
      </c>
    </row>
    <row r="31" spans="1:1" x14ac:dyDescent="0.25">
      <c r="A31" t="s">
        <v>859</v>
      </c>
    </row>
    <row r="32" spans="1:1" x14ac:dyDescent="0.25">
      <c r="A32" t="s">
        <v>860</v>
      </c>
    </row>
    <row r="33" spans="1:1" x14ac:dyDescent="0.25">
      <c r="A33" t="s">
        <v>861</v>
      </c>
    </row>
    <row r="34" spans="1:1" x14ac:dyDescent="0.25">
      <c r="A34" t="s">
        <v>862</v>
      </c>
    </row>
    <row r="35" spans="1:1" x14ac:dyDescent="0.25">
      <c r="A35" t="s">
        <v>863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e">
        <f>- Лучшая в мире тяжелая кавалерия в больших количествах и очень хорошая средняя конница.</f>
        <v>#NAME?</v>
      </c>
    </row>
    <row r="41" spans="1:1" x14ac:dyDescent="0.25">
      <c r="A41" t="s">
        <v>84</v>
      </c>
    </row>
    <row r="42" spans="1:1" x14ac:dyDescent="0.25">
      <c r="A42" t="e">
        <f>- очень хорошая артиллерия.</f>
        <v>#NAME?</v>
      </c>
    </row>
    <row r="43" spans="1:1" x14ac:dyDescent="0.25">
      <c r="A43" t="s">
        <v>85</v>
      </c>
    </row>
    <row r="44" spans="1:1" x14ac:dyDescent="0.25">
      <c r="A44" t="s">
        <v>86</v>
      </c>
    </row>
    <row r="45" spans="1:1" x14ac:dyDescent="0.25">
      <c r="A45" t="s">
        <v>87</v>
      </c>
    </row>
    <row r="46" spans="1:1" x14ac:dyDescent="0.25">
      <c r="A46" t="s">
        <v>88</v>
      </c>
    </row>
    <row r="47" spans="1:1" x14ac:dyDescent="0.25">
      <c r="A47" t="s">
        <v>588</v>
      </c>
    </row>
    <row r="48" spans="1:1" x14ac:dyDescent="0.25">
      <c r="A48" t="s">
        <v>90</v>
      </c>
    </row>
    <row r="49" spans="1:1" x14ac:dyDescent="0.25">
      <c r="A49" t="s">
        <v>589</v>
      </c>
    </row>
    <row r="50" spans="1:1" x14ac:dyDescent="0.25">
      <c r="A50" t="s">
        <v>590</v>
      </c>
    </row>
    <row r="51" spans="1:1" x14ac:dyDescent="0.25">
      <c r="A51" t="s">
        <v>591</v>
      </c>
    </row>
    <row r="52" spans="1:1" x14ac:dyDescent="0.25">
      <c r="A52" t="s">
        <v>94</v>
      </c>
    </row>
    <row r="53" spans="1:1" x14ac:dyDescent="0.25">
      <c r="A53" t="s">
        <v>592</v>
      </c>
    </row>
    <row r="54" spans="1:1" x14ac:dyDescent="0.25">
      <c r="A54" t="s">
        <v>593</v>
      </c>
    </row>
    <row r="55" spans="1:1" x14ac:dyDescent="0.25">
      <c r="A55" t="s">
        <v>97</v>
      </c>
    </row>
    <row r="56" spans="1:1" x14ac:dyDescent="0.25">
      <c r="A56" t="s">
        <v>594</v>
      </c>
    </row>
    <row r="57" spans="1:1" x14ac:dyDescent="0.25">
      <c r="A57" t="s">
        <v>595</v>
      </c>
    </row>
    <row r="58" spans="1:1" x14ac:dyDescent="0.25">
      <c r="A58" t="s">
        <v>100</v>
      </c>
    </row>
    <row r="59" spans="1:1" x14ac:dyDescent="0.25">
      <c r="A59" t="s">
        <v>596</v>
      </c>
    </row>
    <row r="60" spans="1:1" x14ac:dyDescent="0.25">
      <c r="A60" t="s">
        <v>597</v>
      </c>
    </row>
    <row r="61" spans="1:1" x14ac:dyDescent="0.25">
      <c r="A61" t="s">
        <v>103</v>
      </c>
    </row>
    <row r="62" spans="1:1" x14ac:dyDescent="0.25">
      <c r="A62" t="s">
        <v>598</v>
      </c>
    </row>
    <row r="63" spans="1:1" x14ac:dyDescent="0.25">
      <c r="A63" t="s">
        <v>599</v>
      </c>
    </row>
    <row r="64" spans="1:1" x14ac:dyDescent="0.25">
      <c r="A64" t="s">
        <v>106</v>
      </c>
    </row>
    <row r="65" spans="1:1" x14ac:dyDescent="0.25">
      <c r="A65" t="s">
        <v>600</v>
      </c>
    </row>
    <row r="66" spans="1:1" x14ac:dyDescent="0.25">
      <c r="A66" t="s">
        <v>601</v>
      </c>
    </row>
    <row r="67" spans="1:1" x14ac:dyDescent="0.25">
      <c r="A67" t="s">
        <v>602</v>
      </c>
    </row>
    <row r="68" spans="1:1" x14ac:dyDescent="0.25">
      <c r="A68" t="s">
        <v>603</v>
      </c>
    </row>
    <row r="69" spans="1:1" x14ac:dyDescent="0.25">
      <c r="A69" t="s">
        <v>604</v>
      </c>
    </row>
    <row r="70" spans="1:1" x14ac:dyDescent="0.25">
      <c r="A70" t="s">
        <v>605</v>
      </c>
    </row>
    <row r="71" spans="1:1" x14ac:dyDescent="0.25">
      <c r="A71" t="s">
        <v>606</v>
      </c>
    </row>
    <row r="72" spans="1:1" x14ac:dyDescent="0.25">
      <c r="A72" t="s">
        <v>607</v>
      </c>
    </row>
    <row r="73" spans="1:1" x14ac:dyDescent="0.25">
      <c r="A73" t="s">
        <v>115</v>
      </c>
    </row>
    <row r="74" spans="1:1" x14ac:dyDescent="0.25">
      <c r="A74" t="s">
        <v>608</v>
      </c>
    </row>
    <row r="75" spans="1:1" x14ac:dyDescent="0.25">
      <c r="A75" t="s">
        <v>609</v>
      </c>
    </row>
    <row r="76" spans="1:1" x14ac:dyDescent="0.25">
      <c r="A76" t="s">
        <v>610</v>
      </c>
    </row>
    <row r="77" spans="1:1" x14ac:dyDescent="0.25">
      <c r="A77" t="s">
        <v>119</v>
      </c>
    </row>
    <row r="78" spans="1:1" x14ac:dyDescent="0.25">
      <c r="A78" t="s">
        <v>611</v>
      </c>
    </row>
    <row r="79" spans="1:1" x14ac:dyDescent="0.25">
      <c r="A79" t="s">
        <v>159</v>
      </c>
    </row>
    <row r="80" spans="1:1" x14ac:dyDescent="0.25">
      <c r="A80" t="e">
        <f>----наемники</f>
        <v>#NAME?</v>
      </c>
    </row>
    <row r="81" spans="1:1" x14ac:dyDescent="0.25">
      <c r="A81" t="s">
        <v>124</v>
      </c>
    </row>
    <row r="82" spans="1:1" x14ac:dyDescent="0.25">
      <c r="A82" t="s">
        <v>612</v>
      </c>
    </row>
    <row r="83" spans="1:1" x14ac:dyDescent="0.25">
      <c r="A83" t="s">
        <v>613</v>
      </c>
    </row>
    <row r="84" spans="1:1" x14ac:dyDescent="0.25">
      <c r="A84" t="s">
        <v>614</v>
      </c>
    </row>
    <row r="85" spans="1:1" x14ac:dyDescent="0.25">
      <c r="A85" t="s">
        <v>615</v>
      </c>
    </row>
    <row r="86" spans="1:1" x14ac:dyDescent="0.25">
      <c r="A86" t="s">
        <v>126</v>
      </c>
    </row>
    <row r="87" spans="1:1" x14ac:dyDescent="0.25">
      <c r="A87" t="s">
        <v>616</v>
      </c>
    </row>
    <row r="88" spans="1:1" x14ac:dyDescent="0.25">
      <c r="A88" t="s">
        <v>127</v>
      </c>
    </row>
    <row r="90" spans="1:1" x14ac:dyDescent="0.25">
      <c r="A90" t="s">
        <v>617</v>
      </c>
    </row>
    <row r="91" spans="1:1" x14ac:dyDescent="0.25">
      <c r="A91" t="s">
        <v>83</v>
      </c>
    </row>
    <row r="92" spans="1:1" x14ac:dyDescent="0.25">
      <c r="A92" t="s">
        <v>129</v>
      </c>
    </row>
    <row r="93" spans="1:1" x14ac:dyDescent="0.25">
      <c r="A93" t="s">
        <v>130</v>
      </c>
    </row>
    <row r="94" spans="1:1" x14ac:dyDescent="0.25">
      <c r="A94" t="e">
        <f>- мушкеты и гранаты.</f>
        <v>#NAME?</v>
      </c>
    </row>
    <row r="95" spans="1:1" x14ac:dyDescent="0.25">
      <c r="A95" t="s">
        <v>139</v>
      </c>
    </row>
    <row r="96" spans="1:1" x14ac:dyDescent="0.25">
      <c r="A96" t="s">
        <v>87</v>
      </c>
    </row>
    <row r="97" spans="1:1" x14ac:dyDescent="0.25">
      <c r="A97" t="s">
        <v>131</v>
      </c>
    </row>
    <row r="98" spans="1:1" x14ac:dyDescent="0.25">
      <c r="A98" t="s">
        <v>140</v>
      </c>
    </row>
    <row r="99" spans="1:1" x14ac:dyDescent="0.25">
      <c r="A99" t="s">
        <v>618</v>
      </c>
    </row>
    <row r="100" spans="1:1" x14ac:dyDescent="0.25">
      <c r="A100" t="s">
        <v>90</v>
      </c>
    </row>
    <row r="101" spans="1:1" x14ac:dyDescent="0.25">
      <c r="A101" t="s">
        <v>142</v>
      </c>
    </row>
    <row r="102" spans="1:1" x14ac:dyDescent="0.25">
      <c r="A102" t="s">
        <v>143</v>
      </c>
    </row>
    <row r="103" spans="1:1" x14ac:dyDescent="0.25">
      <c r="A103" t="s">
        <v>94</v>
      </c>
    </row>
    <row r="104" spans="1:1" x14ac:dyDescent="0.25">
      <c r="A104" t="s">
        <v>619</v>
      </c>
    </row>
    <row r="105" spans="1:1" x14ac:dyDescent="0.25">
      <c r="A105" t="s">
        <v>620</v>
      </c>
    </row>
    <row r="106" spans="1:1" x14ac:dyDescent="0.25">
      <c r="A106" t="s">
        <v>621</v>
      </c>
    </row>
    <row r="107" spans="1:1" x14ac:dyDescent="0.25">
      <c r="A107" t="s">
        <v>622</v>
      </c>
    </row>
    <row r="108" spans="1:1" x14ac:dyDescent="0.25">
      <c r="A108" t="s">
        <v>97</v>
      </c>
    </row>
    <row r="109" spans="1:1" x14ac:dyDescent="0.25">
      <c r="A109" t="s">
        <v>623</v>
      </c>
    </row>
    <row r="110" spans="1:1" x14ac:dyDescent="0.25">
      <c r="A110" t="s">
        <v>624</v>
      </c>
    </row>
    <row r="111" spans="1:1" x14ac:dyDescent="0.25">
      <c r="A111" t="s">
        <v>625</v>
      </c>
    </row>
    <row r="112" spans="1:1" x14ac:dyDescent="0.25">
      <c r="A112" t="s">
        <v>100</v>
      </c>
    </row>
    <row r="113" spans="1:1" x14ac:dyDescent="0.25">
      <c r="A113" t="s">
        <v>626</v>
      </c>
    </row>
    <row r="114" spans="1:1" x14ac:dyDescent="0.25">
      <c r="A114" t="s">
        <v>627</v>
      </c>
    </row>
    <row r="115" spans="1:1" x14ac:dyDescent="0.25">
      <c r="A115" t="s">
        <v>103</v>
      </c>
    </row>
    <row r="116" spans="1:1" x14ac:dyDescent="0.25">
      <c r="A116" t="e">
        <f>----- там наемники</f>
        <v>#NAME?</v>
      </c>
    </row>
    <row r="117" spans="1:1" x14ac:dyDescent="0.25">
      <c r="A117" t="s">
        <v>106</v>
      </c>
    </row>
    <row r="118" spans="1:1" x14ac:dyDescent="0.25">
      <c r="A118" t="s">
        <v>628</v>
      </c>
    </row>
    <row r="119" spans="1:1" x14ac:dyDescent="0.25">
      <c r="A119" t="s">
        <v>1029</v>
      </c>
    </row>
    <row r="120" spans="1:1" x14ac:dyDescent="0.25">
      <c r="A120" t="s">
        <v>115</v>
      </c>
    </row>
    <row r="121" spans="1:1" x14ac:dyDescent="0.25">
      <c r="A121" t="s">
        <v>629</v>
      </c>
    </row>
    <row r="122" spans="1:1" x14ac:dyDescent="0.25">
      <c r="A122" t="s">
        <v>630</v>
      </c>
    </row>
    <row r="123" spans="1:1" x14ac:dyDescent="0.25">
      <c r="A123" t="s">
        <v>631</v>
      </c>
    </row>
    <row r="124" spans="1:1" x14ac:dyDescent="0.25">
      <c r="A124" t="s">
        <v>119</v>
      </c>
    </row>
    <row r="125" spans="1:1" x14ac:dyDescent="0.25">
      <c r="A125" t="s">
        <v>632</v>
      </c>
    </row>
    <row r="126" spans="1:1" x14ac:dyDescent="0.25">
      <c r="A126" t="s">
        <v>633</v>
      </c>
    </row>
    <row r="127" spans="1:1" x14ac:dyDescent="0.25">
      <c r="A127" t="s">
        <v>159</v>
      </c>
    </row>
    <row r="128" spans="1:1" x14ac:dyDescent="0.25">
      <c r="A128" t="e">
        <f>----- там наемники</f>
        <v>#NAME?</v>
      </c>
    </row>
    <row r="129" spans="1:1" x14ac:dyDescent="0.25">
      <c r="A129" t="s">
        <v>124</v>
      </c>
    </row>
    <row r="130" spans="1:1" x14ac:dyDescent="0.25">
      <c r="A130" t="s">
        <v>634</v>
      </c>
    </row>
    <row r="131" spans="1:1" x14ac:dyDescent="0.25">
      <c r="A131" t="s">
        <v>635</v>
      </c>
    </row>
    <row r="132" spans="1:1" x14ac:dyDescent="0.25">
      <c r="A132" t="s">
        <v>126</v>
      </c>
    </row>
    <row r="133" spans="1:1" x14ac:dyDescent="0.25">
      <c r="A133" t="s">
        <v>636</v>
      </c>
    </row>
    <row r="134" spans="1:1" x14ac:dyDescent="0.25">
      <c r="A134" t="s">
        <v>637</v>
      </c>
    </row>
    <row r="135" spans="1:1" x14ac:dyDescent="0.25">
      <c r="A135" t="s">
        <v>638</v>
      </c>
    </row>
    <row r="136" spans="1:1" x14ac:dyDescent="0.25">
      <c r="A136" t="s">
        <v>639</v>
      </c>
    </row>
    <row r="137" spans="1:1" x14ac:dyDescent="0.25">
      <c r="A137" t="s">
        <v>127</v>
      </c>
    </row>
    <row r="139" spans="1:1" x14ac:dyDescent="0.25">
      <c r="A139" t="s">
        <v>640</v>
      </c>
    </row>
    <row r="140" spans="1:1" x14ac:dyDescent="0.25">
      <c r="A140" t="s">
        <v>83</v>
      </c>
    </row>
    <row r="141" spans="1:1" x14ac:dyDescent="0.25">
      <c r="A141" t="s">
        <v>168</v>
      </c>
    </row>
    <row r="142" spans="1:1" x14ac:dyDescent="0.25">
      <c r="A142" t="s">
        <v>87</v>
      </c>
    </row>
    <row r="143" spans="1:1" x14ac:dyDescent="0.25">
      <c r="A143" t="s">
        <v>131</v>
      </c>
    </row>
    <row r="144" spans="1:1" x14ac:dyDescent="0.25">
      <c r="A144" t="s">
        <v>169</v>
      </c>
    </row>
    <row r="145" spans="1:1" x14ac:dyDescent="0.25">
      <c r="A145" t="s">
        <v>90</v>
      </c>
    </row>
    <row r="146" spans="1:1" x14ac:dyDescent="0.25">
      <c r="A146" t="s">
        <v>170</v>
      </c>
    </row>
    <row r="147" spans="1:1" x14ac:dyDescent="0.25">
      <c r="A147" t="s">
        <v>94</v>
      </c>
    </row>
    <row r="148" spans="1:1" x14ac:dyDescent="0.25">
      <c r="A148" t="s">
        <v>641</v>
      </c>
    </row>
    <row r="149" spans="1:1" x14ac:dyDescent="0.25">
      <c r="A149" t="s">
        <v>97</v>
      </c>
    </row>
    <row r="150" spans="1:1" x14ac:dyDescent="0.25">
      <c r="A150" t="s">
        <v>642</v>
      </c>
    </row>
    <row r="151" spans="1:1" x14ac:dyDescent="0.25">
      <c r="A151" t="s">
        <v>643</v>
      </c>
    </row>
    <row r="152" spans="1:1" x14ac:dyDescent="0.25">
      <c r="A152" t="s">
        <v>100</v>
      </c>
    </row>
    <row r="153" spans="1:1" x14ac:dyDescent="0.25">
      <c r="A153" t="e">
        <f>-----наемники</f>
        <v>#NAME?</v>
      </c>
    </row>
    <row r="154" spans="1:1" x14ac:dyDescent="0.25">
      <c r="A154" t="s">
        <v>103</v>
      </c>
    </row>
    <row r="155" spans="1:1" x14ac:dyDescent="0.25">
      <c r="A155" t="e">
        <f>-----наемники</f>
        <v>#NAME?</v>
      </c>
    </row>
    <row r="156" spans="1:1" x14ac:dyDescent="0.25">
      <c r="A156" t="s">
        <v>106</v>
      </c>
    </row>
    <row r="157" spans="1:1" x14ac:dyDescent="0.25">
      <c r="A157" t="e">
        <f>-----наемники</f>
        <v>#NAME?</v>
      </c>
    </row>
    <row r="158" spans="1:1" x14ac:dyDescent="0.25">
      <c r="A158" t="s">
        <v>115</v>
      </c>
    </row>
    <row r="159" spans="1:1" x14ac:dyDescent="0.25">
      <c r="A159" t="s">
        <v>644</v>
      </c>
    </row>
    <row r="160" spans="1:1" x14ac:dyDescent="0.25">
      <c r="A160" t="s">
        <v>645</v>
      </c>
    </row>
    <row r="161" spans="1:1" x14ac:dyDescent="0.25">
      <c r="A161" t="s">
        <v>119</v>
      </c>
    </row>
    <row r="162" spans="1:1" x14ac:dyDescent="0.25">
      <c r="A162" t="e">
        <f>-----наемники</f>
        <v>#NAME?</v>
      </c>
    </row>
    <row r="163" spans="1:1" x14ac:dyDescent="0.25">
      <c r="A163" t="s">
        <v>159</v>
      </c>
    </row>
    <row r="164" spans="1:1" x14ac:dyDescent="0.25">
      <c r="A164" t="e">
        <f>-----наемники</f>
        <v>#NAME?</v>
      </c>
    </row>
    <row r="165" spans="1:1" x14ac:dyDescent="0.25">
      <c r="A165" t="s">
        <v>124</v>
      </c>
    </row>
    <row r="166" spans="1:1" x14ac:dyDescent="0.25">
      <c r="A166" t="s">
        <v>646</v>
      </c>
    </row>
    <row r="167" spans="1:1" x14ac:dyDescent="0.25">
      <c r="A167" t="s">
        <v>647</v>
      </c>
    </row>
    <row r="168" spans="1:1" x14ac:dyDescent="0.25">
      <c r="A168" t="s">
        <v>126</v>
      </c>
    </row>
    <row r="169" spans="1:1" x14ac:dyDescent="0.25">
      <c r="A169" t="e">
        <f>-----наверное нет</f>
        <v>#NAME?</v>
      </c>
    </row>
    <row r="170" spans="1:1" x14ac:dyDescent="0.25">
      <c r="A170" t="s">
        <v>127</v>
      </c>
    </row>
    <row r="172" spans="1:1" x14ac:dyDescent="0.25">
      <c r="A172" t="s">
        <v>672</v>
      </c>
    </row>
    <row r="173" spans="1:1" x14ac:dyDescent="0.25">
      <c r="A173" t="s">
        <v>83</v>
      </c>
    </row>
    <row r="174" spans="1:1" x14ac:dyDescent="0.25">
      <c r="A174" t="e">
        <f>- Лучшая в мире пехотная мораль</f>
        <v>#NAME?</v>
      </c>
    </row>
    <row r="175" spans="1:1" x14ac:dyDescent="0.25">
      <c r="A175" t="e">
        <f>- отличная атака</f>
        <v>#NAME?</v>
      </c>
    </row>
    <row r="176" spans="1:1" x14ac:dyDescent="0.25">
      <c r="A176" t="e">
        <f>- повышенный размер отрядов рукопашной пехоты</f>
        <v>#NAME?</v>
      </c>
    </row>
    <row r="177" spans="1:1" x14ac:dyDescent="0.25">
      <c r="A177" t="s">
        <v>181</v>
      </c>
    </row>
    <row r="178" spans="1:1" x14ac:dyDescent="0.25">
      <c r="A178" t="s">
        <v>182</v>
      </c>
    </row>
    <row r="179" spans="1:1" x14ac:dyDescent="0.25">
      <c r="A179" t="s">
        <v>183</v>
      </c>
    </row>
    <row r="180" spans="1:1" x14ac:dyDescent="0.25">
      <c r="A180" t="s">
        <v>184</v>
      </c>
    </row>
    <row r="181" spans="1:1" x14ac:dyDescent="0.25">
      <c r="A181" t="s">
        <v>87</v>
      </c>
    </row>
    <row r="182" spans="1:1" x14ac:dyDescent="0.25">
      <c r="A182" t="s">
        <v>131</v>
      </c>
    </row>
    <row r="183" spans="1:1" x14ac:dyDescent="0.25">
      <c r="A183" t="s">
        <v>185</v>
      </c>
    </row>
    <row r="184" spans="1:1" x14ac:dyDescent="0.25">
      <c r="A184" t="s">
        <v>90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94</v>
      </c>
    </row>
    <row r="189" spans="1:1" x14ac:dyDescent="0.25">
      <c r="A189" t="s">
        <v>648</v>
      </c>
    </row>
    <row r="190" spans="1:1" x14ac:dyDescent="0.25">
      <c r="A190" t="s">
        <v>649</v>
      </c>
    </row>
    <row r="191" spans="1:1" x14ac:dyDescent="0.25">
      <c r="A191" t="s">
        <v>650</v>
      </c>
    </row>
    <row r="192" spans="1:1" x14ac:dyDescent="0.25">
      <c r="A192" t="s">
        <v>651</v>
      </c>
    </row>
    <row r="193" spans="1:1" x14ac:dyDescent="0.25">
      <c r="A193" t="s">
        <v>652</v>
      </c>
    </row>
    <row r="194" spans="1:1" x14ac:dyDescent="0.25">
      <c r="A194" t="s">
        <v>653</v>
      </c>
    </row>
    <row r="195" spans="1:1" x14ac:dyDescent="0.25">
      <c r="A195" t="s">
        <v>97</v>
      </c>
    </row>
    <row r="196" spans="1:1" x14ac:dyDescent="0.25">
      <c r="A196" t="s">
        <v>654</v>
      </c>
    </row>
    <row r="197" spans="1:1" x14ac:dyDescent="0.25">
      <c r="A197" t="s">
        <v>655</v>
      </c>
    </row>
    <row r="198" spans="1:1" x14ac:dyDescent="0.25">
      <c r="A198" t="s">
        <v>656</v>
      </c>
    </row>
    <row r="199" spans="1:1" x14ac:dyDescent="0.25">
      <c r="A199" t="s">
        <v>657</v>
      </c>
    </row>
    <row r="200" spans="1:1" x14ac:dyDescent="0.25">
      <c r="A200" t="s">
        <v>658</v>
      </c>
    </row>
    <row r="201" spans="1:1" x14ac:dyDescent="0.25">
      <c r="A201" t="s">
        <v>659</v>
      </c>
    </row>
    <row r="202" spans="1:1" x14ac:dyDescent="0.25">
      <c r="A202" t="s">
        <v>660</v>
      </c>
    </row>
    <row r="203" spans="1:1" x14ac:dyDescent="0.25">
      <c r="A203" t="s">
        <v>661</v>
      </c>
    </row>
    <row r="204" spans="1:1" x14ac:dyDescent="0.25">
      <c r="A204" t="s">
        <v>662</v>
      </c>
    </row>
    <row r="205" spans="1:1" x14ac:dyDescent="0.25">
      <c r="A205" t="s">
        <v>663</v>
      </c>
    </row>
    <row r="206" spans="1:1" x14ac:dyDescent="0.25">
      <c r="A206" t="s">
        <v>100</v>
      </c>
    </row>
    <row r="207" spans="1:1" x14ac:dyDescent="0.25">
      <c r="A207" t="e">
        <f>-----наемники</f>
        <v>#NAME?</v>
      </c>
    </row>
    <row r="208" spans="1:1" x14ac:dyDescent="0.25">
      <c r="A208" t="s">
        <v>103</v>
      </c>
    </row>
    <row r="209" spans="1:1" x14ac:dyDescent="0.25">
      <c r="A209" t="e">
        <f>-----наемники</f>
        <v>#NAME?</v>
      </c>
    </row>
    <row r="210" spans="1:1" x14ac:dyDescent="0.25">
      <c r="A210" t="s">
        <v>115</v>
      </c>
    </row>
    <row r="211" spans="1:1" x14ac:dyDescent="0.25">
      <c r="A211" t="s">
        <v>664</v>
      </c>
    </row>
    <row r="212" spans="1:1" x14ac:dyDescent="0.25">
      <c r="A212" t="s">
        <v>119</v>
      </c>
    </row>
    <row r="213" spans="1:1" x14ac:dyDescent="0.25">
      <c r="A213" t="e">
        <f>-----нет</f>
        <v>#NAME?</v>
      </c>
    </row>
    <row r="214" spans="1:1" x14ac:dyDescent="0.25">
      <c r="A214" t="s">
        <v>159</v>
      </c>
    </row>
    <row r="215" spans="1:1" x14ac:dyDescent="0.25">
      <c r="A215" t="e">
        <f>-----наемники</f>
        <v>#NAME?</v>
      </c>
    </row>
    <row r="216" spans="1:1" x14ac:dyDescent="0.25">
      <c r="A216" t="s">
        <v>124</v>
      </c>
    </row>
    <row r="217" spans="1:1" x14ac:dyDescent="0.25">
      <c r="A217" t="s">
        <v>665</v>
      </c>
    </row>
    <row r="218" spans="1:1" x14ac:dyDescent="0.25">
      <c r="A218" t="s">
        <v>666</v>
      </c>
    </row>
    <row r="219" spans="1:1" x14ac:dyDescent="0.25">
      <c r="A219" t="s">
        <v>126</v>
      </c>
    </row>
    <row r="220" spans="1:1" x14ac:dyDescent="0.25">
      <c r="A220" t="s">
        <v>667</v>
      </c>
    </row>
    <row r="221" spans="1:1" x14ac:dyDescent="0.25">
      <c r="A221" t="s">
        <v>668</v>
      </c>
    </row>
    <row r="222" spans="1:1" x14ac:dyDescent="0.25">
      <c r="A222" t="s">
        <v>127</v>
      </c>
    </row>
    <row r="224" spans="1:1" x14ac:dyDescent="0.25">
      <c r="A224" t="s">
        <v>673</v>
      </c>
    </row>
    <row r="225" spans="1:1" x14ac:dyDescent="0.25">
      <c r="A225" t="s">
        <v>83</v>
      </c>
    </row>
    <row r="226" spans="1:1" x14ac:dyDescent="0.25">
      <c r="A226" t="e">
        <f>- Фишка - хорошая и быстрая тяжелая конница.</f>
        <v>#NAME?</v>
      </c>
    </row>
    <row r="227" spans="1:1" x14ac:dyDescent="0.25">
      <c r="A227" t="s">
        <v>87</v>
      </c>
    </row>
    <row r="228" spans="1:1" x14ac:dyDescent="0.25">
      <c r="A228" t="s">
        <v>131</v>
      </c>
    </row>
    <row r="230" spans="1:1" x14ac:dyDescent="0.25">
      <c r="A230" t="s">
        <v>90</v>
      </c>
    </row>
    <row r="232" spans="1:1" x14ac:dyDescent="0.25">
      <c r="A232" t="s">
        <v>94</v>
      </c>
    </row>
    <row r="234" spans="1:1" x14ac:dyDescent="0.25">
      <c r="A234" t="s">
        <v>97</v>
      </c>
    </row>
    <row r="236" spans="1:1" x14ac:dyDescent="0.25">
      <c r="A236" t="s">
        <v>100</v>
      </c>
    </row>
    <row r="238" spans="1:1" x14ac:dyDescent="0.25">
      <c r="A238" t="s">
        <v>103</v>
      </c>
    </row>
    <row r="240" spans="1:1" x14ac:dyDescent="0.25">
      <c r="A240" t="s">
        <v>106</v>
      </c>
    </row>
    <row r="241" spans="1:1" x14ac:dyDescent="0.25">
      <c r="A241" t="s">
        <v>1072</v>
      </c>
    </row>
    <row r="242" spans="1:1" x14ac:dyDescent="0.25">
      <c r="A242" t="s">
        <v>115</v>
      </c>
    </row>
    <row r="243" spans="1:1" x14ac:dyDescent="0.25">
      <c r="A243" t="s">
        <v>1071</v>
      </c>
    </row>
    <row r="244" spans="1:1" x14ac:dyDescent="0.25">
      <c r="A244" t="s">
        <v>1070</v>
      </c>
    </row>
    <row r="245" spans="1:1" x14ac:dyDescent="0.25">
      <c r="A245" t="s">
        <v>119</v>
      </c>
    </row>
    <row r="247" spans="1:1" x14ac:dyDescent="0.25">
      <c r="A247" t="s">
        <v>159</v>
      </c>
    </row>
    <row r="249" spans="1:1" x14ac:dyDescent="0.25">
      <c r="A249" t="s">
        <v>124</v>
      </c>
    </row>
    <row r="250" spans="1:1" x14ac:dyDescent="0.25">
      <c r="A250" t="s">
        <v>1069</v>
      </c>
    </row>
    <row r="251" spans="1:1" x14ac:dyDescent="0.25">
      <c r="A251" t="s">
        <v>126</v>
      </c>
    </row>
    <row r="252" spans="1:1" x14ac:dyDescent="0.25">
      <c r="A252" t="s">
        <v>1068</v>
      </c>
    </row>
    <row r="253" spans="1:1" x14ac:dyDescent="0.25">
      <c r="A253" t="s">
        <v>1067</v>
      </c>
    </row>
    <row r="254" spans="1:1" x14ac:dyDescent="0.25">
      <c r="A254" t="s">
        <v>127</v>
      </c>
    </row>
    <row r="256" spans="1:1" x14ac:dyDescent="0.25">
      <c r="A256" t="s">
        <v>674</v>
      </c>
    </row>
    <row r="257" spans="1:1" x14ac:dyDescent="0.25">
      <c r="A257" t="s">
        <v>83</v>
      </c>
    </row>
    <row r="258" spans="1:1" x14ac:dyDescent="0.25">
      <c r="A258" t="s">
        <v>224</v>
      </c>
    </row>
    <row r="259" spans="1:1" x14ac:dyDescent="0.25">
      <c r="A259" t="e">
        <f>- очень очень очень много конницы</f>
        <v>#NAME?</v>
      </c>
    </row>
    <row r="260" spans="1:1" x14ac:dyDescent="0.25">
      <c r="A260" t="e">
        <f>- очень очень очень много легкой пехоты.</f>
        <v>#NAME?</v>
      </c>
    </row>
    <row r="261" spans="1:1" x14ac:dyDescent="0.25">
      <c r="A261" t="s">
        <v>225</v>
      </c>
    </row>
    <row r="262" spans="1:1" x14ac:dyDescent="0.25">
      <c r="A262" t="e">
        <f>- очень хорошая и развитая артиллерия</f>
        <v>#NAME?</v>
      </c>
    </row>
    <row r="263" spans="1:1" x14ac:dyDescent="0.25">
      <c r="A263" t="s">
        <v>226</v>
      </c>
    </row>
    <row r="264" spans="1:1" x14ac:dyDescent="0.25">
      <c r="A264" t="s">
        <v>87</v>
      </c>
    </row>
    <row r="265" spans="1:1" x14ac:dyDescent="0.25">
      <c r="A265" t="s">
        <v>131</v>
      </c>
    </row>
    <row r="266" spans="1:1" x14ac:dyDescent="0.25">
      <c r="A266" t="s">
        <v>675</v>
      </c>
    </row>
    <row r="267" spans="1:1" x14ac:dyDescent="0.25">
      <c r="A267" t="s">
        <v>90</v>
      </c>
    </row>
    <row r="268" spans="1:1" x14ac:dyDescent="0.25">
      <c r="A268" t="s">
        <v>676</v>
      </c>
    </row>
    <row r="269" spans="1:1" x14ac:dyDescent="0.25">
      <c r="A269" t="s">
        <v>677</v>
      </c>
    </row>
    <row r="270" spans="1:1" x14ac:dyDescent="0.25">
      <c r="A270" t="s">
        <v>94</v>
      </c>
    </row>
    <row r="271" spans="1:1" x14ac:dyDescent="0.25">
      <c r="A271" t="e">
        <f>---------наемники</f>
        <v>#NAME?</v>
      </c>
    </row>
    <row r="272" spans="1:1" x14ac:dyDescent="0.25">
      <c r="A272" t="s">
        <v>97</v>
      </c>
    </row>
    <row r="273" spans="1:1" x14ac:dyDescent="0.25">
      <c r="A273" t="s">
        <v>678</v>
      </c>
    </row>
    <row r="274" spans="1:1" x14ac:dyDescent="0.25">
      <c r="A274" t="s">
        <v>679</v>
      </c>
    </row>
    <row r="275" spans="1:1" x14ac:dyDescent="0.25">
      <c r="A275" t="s">
        <v>680</v>
      </c>
    </row>
    <row r="276" spans="1:1" x14ac:dyDescent="0.25">
      <c r="A276" t="s">
        <v>681</v>
      </c>
    </row>
    <row r="277" spans="1:1" x14ac:dyDescent="0.25">
      <c r="A277" t="s">
        <v>100</v>
      </c>
    </row>
    <row r="278" spans="1:1" x14ac:dyDescent="0.25">
      <c r="A278" t="s">
        <v>682</v>
      </c>
    </row>
    <row r="279" spans="1:1" x14ac:dyDescent="0.25">
      <c r="A279" t="s">
        <v>683</v>
      </c>
    </row>
    <row r="280" spans="1:1" x14ac:dyDescent="0.25">
      <c r="A280" t="s">
        <v>103</v>
      </c>
    </row>
    <row r="281" spans="1:1" x14ac:dyDescent="0.25">
      <c r="A281" t="s">
        <v>684</v>
      </c>
    </row>
    <row r="282" spans="1:1" x14ac:dyDescent="0.25">
      <c r="A282" t="s">
        <v>685</v>
      </c>
    </row>
    <row r="283" spans="1:1" x14ac:dyDescent="0.25">
      <c r="A283" t="s">
        <v>106</v>
      </c>
    </row>
    <row r="284" spans="1:1" x14ac:dyDescent="0.25">
      <c r="A284" t="s">
        <v>686</v>
      </c>
    </row>
    <row r="285" spans="1:1" x14ac:dyDescent="0.25">
      <c r="A285" t="s">
        <v>687</v>
      </c>
    </row>
    <row r="286" spans="1:1" x14ac:dyDescent="0.25">
      <c r="A286" t="s">
        <v>115</v>
      </c>
    </row>
    <row r="287" spans="1:1" x14ac:dyDescent="0.25">
      <c r="A287" t="e">
        <f>-------наемники</f>
        <v>#NAME?</v>
      </c>
    </row>
    <row r="288" spans="1:1" x14ac:dyDescent="0.25">
      <c r="A288" t="s">
        <v>119</v>
      </c>
    </row>
    <row r="289" spans="1:1" x14ac:dyDescent="0.25">
      <c r="A289" t="s">
        <v>688</v>
      </c>
    </row>
    <row r="290" spans="1:1" x14ac:dyDescent="0.25">
      <c r="A290" t="s">
        <v>689</v>
      </c>
    </row>
    <row r="291" spans="1:1" x14ac:dyDescent="0.25">
      <c r="A291" t="s">
        <v>159</v>
      </c>
    </row>
    <row r="292" spans="1:1" x14ac:dyDescent="0.25">
      <c r="A292" t="s">
        <v>690</v>
      </c>
    </row>
    <row r="293" spans="1:1" x14ac:dyDescent="0.25">
      <c r="A293" t="s">
        <v>247</v>
      </c>
    </row>
    <row r="294" spans="1:1" x14ac:dyDescent="0.25">
      <c r="A294" t="s">
        <v>691</v>
      </c>
    </row>
    <row r="295" spans="1:1" x14ac:dyDescent="0.25">
      <c r="A295" t="s">
        <v>692</v>
      </c>
    </row>
    <row r="296" spans="1:1" x14ac:dyDescent="0.25">
      <c r="A296" t="s">
        <v>251</v>
      </c>
    </row>
    <row r="297" spans="1:1" x14ac:dyDescent="0.25">
      <c r="A297" t="s">
        <v>693</v>
      </c>
    </row>
    <row r="298" spans="1:1" x14ac:dyDescent="0.25">
      <c r="A298" t="s">
        <v>694</v>
      </c>
    </row>
    <row r="299" spans="1:1" x14ac:dyDescent="0.25">
      <c r="A299" t="s">
        <v>695</v>
      </c>
    </row>
    <row r="300" spans="1:1" x14ac:dyDescent="0.25">
      <c r="A300" t="s">
        <v>696</v>
      </c>
    </row>
    <row r="301" spans="1:1" x14ac:dyDescent="0.25">
      <c r="A301" t="s">
        <v>126</v>
      </c>
    </row>
    <row r="302" spans="1:1" x14ac:dyDescent="0.25">
      <c r="A302" t="s">
        <v>256</v>
      </c>
    </row>
    <row r="303" spans="1:1" x14ac:dyDescent="0.25">
      <c r="A303" t="s">
        <v>127</v>
      </c>
    </row>
    <row r="305" spans="1:1" x14ac:dyDescent="0.25">
      <c r="A305" t="s">
        <v>697</v>
      </c>
    </row>
    <row r="306" spans="1:1" x14ac:dyDescent="0.25">
      <c r="A306" t="s">
        <v>83</v>
      </c>
    </row>
    <row r="307" spans="1:1" x14ac:dyDescent="0.25">
      <c r="A307" t="s">
        <v>260</v>
      </c>
    </row>
    <row r="308" spans="1:1" x14ac:dyDescent="0.25">
      <c r="A308" t="s">
        <v>87</v>
      </c>
    </row>
    <row r="309" spans="1:1" x14ac:dyDescent="0.25">
      <c r="A309" t="s">
        <v>131</v>
      </c>
    </row>
    <row r="311" spans="1:1" x14ac:dyDescent="0.25">
      <c r="A311" t="s">
        <v>90</v>
      </c>
    </row>
    <row r="313" spans="1:1" x14ac:dyDescent="0.25">
      <c r="A313" t="s">
        <v>94</v>
      </c>
    </row>
    <row r="316" spans="1:1" x14ac:dyDescent="0.25">
      <c r="A316" t="s">
        <v>97</v>
      </c>
    </row>
    <row r="318" spans="1:1" x14ac:dyDescent="0.25">
      <c r="A318" t="s">
        <v>100</v>
      </c>
    </row>
    <row r="320" spans="1:1" x14ac:dyDescent="0.25">
      <c r="A320" t="s">
        <v>103</v>
      </c>
    </row>
    <row r="322" spans="1:1" x14ac:dyDescent="0.25">
      <c r="A322" t="s">
        <v>106</v>
      </c>
    </row>
    <row r="324" spans="1:1" x14ac:dyDescent="0.25">
      <c r="A324" t="s">
        <v>115</v>
      </c>
    </row>
    <row r="325" spans="1:1" x14ac:dyDescent="0.25">
      <c r="A325" t="s">
        <v>223</v>
      </c>
    </row>
    <row r="326" spans="1:1" x14ac:dyDescent="0.25">
      <c r="A326" t="s">
        <v>119</v>
      </c>
    </row>
    <row r="328" spans="1:1" x14ac:dyDescent="0.25">
      <c r="A328" t="s">
        <v>159</v>
      </c>
    </row>
    <row r="330" spans="1:1" x14ac:dyDescent="0.25">
      <c r="A330" t="s">
        <v>124</v>
      </c>
    </row>
    <row r="332" spans="1:1" x14ac:dyDescent="0.25">
      <c r="A332" t="s">
        <v>126</v>
      </c>
    </row>
    <row r="334" spans="1:1" x14ac:dyDescent="0.25">
      <c r="A334" t="s">
        <v>127</v>
      </c>
    </row>
    <row r="336" spans="1:1" x14ac:dyDescent="0.25">
      <c r="A336" t="s">
        <v>261</v>
      </c>
    </row>
    <row r="337" spans="1:1" x14ac:dyDescent="0.25">
      <c r="A337" t="s">
        <v>83</v>
      </c>
    </row>
    <row r="338" spans="1:1" x14ac:dyDescent="0.25">
      <c r="A338" t="s">
        <v>262</v>
      </c>
    </row>
    <row r="339" spans="1:1" x14ac:dyDescent="0.25">
      <c r="A339" t="s">
        <v>263</v>
      </c>
    </row>
    <row r="340" spans="1:1" x14ac:dyDescent="0.25">
      <c r="A340" t="s">
        <v>264</v>
      </c>
    </row>
    <row r="341" spans="1:1" x14ac:dyDescent="0.25">
      <c r="A341" t="s">
        <v>87</v>
      </c>
    </row>
    <row r="342" spans="1:1" x14ac:dyDescent="0.25">
      <c r="A342" t="s">
        <v>131</v>
      </c>
    </row>
    <row r="343" spans="1:1" x14ac:dyDescent="0.25">
      <c r="A343" t="s">
        <v>265</v>
      </c>
    </row>
    <row r="344" spans="1:1" x14ac:dyDescent="0.25">
      <c r="A344" t="s">
        <v>266</v>
      </c>
    </row>
    <row r="345" spans="1:1" x14ac:dyDescent="0.25">
      <c r="A345" t="s">
        <v>90</v>
      </c>
    </row>
    <row r="346" spans="1:1" x14ac:dyDescent="0.25">
      <c r="A346" t="s">
        <v>267</v>
      </c>
    </row>
    <row r="347" spans="1:1" x14ac:dyDescent="0.25">
      <c r="A347" t="s">
        <v>268</v>
      </c>
    </row>
    <row r="348" spans="1:1" x14ac:dyDescent="0.25">
      <c r="A348" t="s">
        <v>94</v>
      </c>
    </row>
    <row r="349" spans="1:1" x14ac:dyDescent="0.25">
      <c r="A349" t="s">
        <v>269</v>
      </c>
    </row>
    <row r="350" spans="1:1" x14ac:dyDescent="0.25">
      <c r="A350" t="s">
        <v>270</v>
      </c>
    </row>
    <row r="351" spans="1:1" x14ac:dyDescent="0.25">
      <c r="A351" t="s">
        <v>97</v>
      </c>
    </row>
    <row r="352" spans="1:1" x14ac:dyDescent="0.25">
      <c r="A352" t="e">
        <f>---------наемники</f>
        <v>#NAME?</v>
      </c>
    </row>
    <row r="353" spans="1:1" x14ac:dyDescent="0.25">
      <c r="A353" t="s">
        <v>100</v>
      </c>
    </row>
    <row r="354" spans="1:1" x14ac:dyDescent="0.25">
      <c r="A354" t="s">
        <v>271</v>
      </c>
    </row>
    <row r="355" spans="1:1" x14ac:dyDescent="0.25">
      <c r="A355" t="s">
        <v>272</v>
      </c>
    </row>
    <row r="356" spans="1:1" x14ac:dyDescent="0.25">
      <c r="A356" t="s">
        <v>273</v>
      </c>
    </row>
    <row r="357" spans="1:1" x14ac:dyDescent="0.25">
      <c r="A357" t="s">
        <v>274</v>
      </c>
    </row>
    <row r="358" spans="1:1" x14ac:dyDescent="0.25">
      <c r="A358" t="s">
        <v>103</v>
      </c>
    </row>
    <row r="359" spans="1:1" x14ac:dyDescent="0.25">
      <c r="A359" t="s">
        <v>275</v>
      </c>
    </row>
    <row r="360" spans="1:1" x14ac:dyDescent="0.25">
      <c r="A360" t="s">
        <v>276</v>
      </c>
    </row>
    <row r="361" spans="1:1" x14ac:dyDescent="0.25">
      <c r="A361" t="s">
        <v>543</v>
      </c>
    </row>
    <row r="362" spans="1:1" x14ac:dyDescent="0.25">
      <c r="A362" t="s">
        <v>277</v>
      </c>
    </row>
    <row r="363" spans="1:1" x14ac:dyDescent="0.25">
      <c r="A363" t="s">
        <v>278</v>
      </c>
    </row>
    <row r="364" spans="1:1" x14ac:dyDescent="0.25">
      <c r="A364" t="s">
        <v>106</v>
      </c>
    </row>
    <row r="365" spans="1:1" x14ac:dyDescent="0.25">
      <c r="A365" t="s">
        <v>279</v>
      </c>
    </row>
    <row r="366" spans="1:1" x14ac:dyDescent="0.25">
      <c r="A366" t="s">
        <v>115</v>
      </c>
    </row>
    <row r="367" spans="1:1" x14ac:dyDescent="0.25">
      <c r="A367" t="s">
        <v>280</v>
      </c>
    </row>
    <row r="368" spans="1:1" x14ac:dyDescent="0.25">
      <c r="A368" t="s">
        <v>281</v>
      </c>
    </row>
    <row r="369" spans="1:1" x14ac:dyDescent="0.25">
      <c r="A369" t="s">
        <v>119</v>
      </c>
    </row>
    <row r="370" spans="1:1" x14ac:dyDescent="0.25">
      <c r="A370" t="e">
        <f>-------нет</f>
        <v>#NAME?</v>
      </c>
    </row>
    <row r="371" spans="1:1" x14ac:dyDescent="0.25">
      <c r="A371" t="s">
        <v>159</v>
      </c>
    </row>
    <row r="372" spans="1:1" x14ac:dyDescent="0.25">
      <c r="A372" t="e">
        <f>-----уже есть</f>
        <v>#NAME?</v>
      </c>
    </row>
    <row r="373" spans="1:1" x14ac:dyDescent="0.25">
      <c r="A373" t="s">
        <v>124</v>
      </c>
    </row>
    <row r="374" spans="1:1" x14ac:dyDescent="0.25">
      <c r="A374" t="s">
        <v>282</v>
      </c>
    </row>
    <row r="375" spans="1:1" x14ac:dyDescent="0.25">
      <c r="A375" t="s">
        <v>283</v>
      </c>
    </row>
    <row r="376" spans="1:1" x14ac:dyDescent="0.25">
      <c r="A376" t="s">
        <v>126</v>
      </c>
    </row>
    <row r="377" spans="1:1" x14ac:dyDescent="0.25">
      <c r="A377" t="e">
        <f>-----нет</f>
        <v>#NAME?</v>
      </c>
    </row>
    <row r="378" spans="1:1" x14ac:dyDescent="0.25">
      <c r="A378" t="s">
        <v>127</v>
      </c>
    </row>
    <row r="380" spans="1:1" x14ac:dyDescent="0.25">
      <c r="A380" t="s">
        <v>698</v>
      </c>
    </row>
    <row r="381" spans="1:1" x14ac:dyDescent="0.25">
      <c r="A381" t="s">
        <v>83</v>
      </c>
    </row>
    <row r="382" spans="1:1" x14ac:dyDescent="0.25">
      <c r="A382" t="s">
        <v>260</v>
      </c>
    </row>
    <row r="383" spans="1:1" x14ac:dyDescent="0.25">
      <c r="A383" t="s">
        <v>87</v>
      </c>
    </row>
    <row r="384" spans="1:1" x14ac:dyDescent="0.25">
      <c r="A384" t="s">
        <v>131</v>
      </c>
    </row>
    <row r="386" spans="1:1" x14ac:dyDescent="0.25">
      <c r="A386" t="s">
        <v>90</v>
      </c>
    </row>
    <row r="388" spans="1:1" x14ac:dyDescent="0.25">
      <c r="A388" t="s">
        <v>94</v>
      </c>
    </row>
    <row r="391" spans="1:1" x14ac:dyDescent="0.25">
      <c r="A391" t="s">
        <v>97</v>
      </c>
    </row>
    <row r="393" spans="1:1" x14ac:dyDescent="0.25">
      <c r="A393" t="s">
        <v>100</v>
      </c>
    </row>
    <row r="395" spans="1:1" x14ac:dyDescent="0.25">
      <c r="A395" t="s">
        <v>103</v>
      </c>
    </row>
    <row r="397" spans="1:1" x14ac:dyDescent="0.25">
      <c r="A397" t="s">
        <v>106</v>
      </c>
    </row>
    <row r="399" spans="1:1" x14ac:dyDescent="0.25">
      <c r="A399" t="s">
        <v>115</v>
      </c>
    </row>
    <row r="400" spans="1:1" x14ac:dyDescent="0.25">
      <c r="A400" t="s">
        <v>223</v>
      </c>
    </row>
    <row r="401" spans="1:1" x14ac:dyDescent="0.25">
      <c r="A401" t="s">
        <v>119</v>
      </c>
    </row>
    <row r="403" spans="1:1" x14ac:dyDescent="0.25">
      <c r="A403" t="s">
        <v>159</v>
      </c>
    </row>
    <row r="405" spans="1:1" x14ac:dyDescent="0.25">
      <c r="A405" t="s">
        <v>124</v>
      </c>
    </row>
    <row r="407" spans="1:1" x14ac:dyDescent="0.25">
      <c r="A407" t="s">
        <v>126</v>
      </c>
    </row>
    <row r="408" spans="1:1" x14ac:dyDescent="0.25">
      <c r="A408" t="s">
        <v>289</v>
      </c>
    </row>
    <row r="409" spans="1:1" x14ac:dyDescent="0.25">
      <c r="A409" t="s">
        <v>290</v>
      </c>
    </row>
    <row r="410" spans="1:1" x14ac:dyDescent="0.25">
      <c r="A410" t="s">
        <v>127</v>
      </c>
    </row>
    <row r="412" spans="1:1" x14ac:dyDescent="0.25">
      <c r="A412" t="s">
        <v>291</v>
      </c>
    </row>
    <row r="413" spans="1:1" x14ac:dyDescent="0.25">
      <c r="A413" t="s">
        <v>83</v>
      </c>
    </row>
    <row r="414" spans="1:1" x14ac:dyDescent="0.25">
      <c r="A414" t="s">
        <v>292</v>
      </c>
    </row>
    <row r="415" spans="1:1" x14ac:dyDescent="0.25">
      <c r="A415" t="s">
        <v>293</v>
      </c>
    </row>
    <row r="416" spans="1:1" x14ac:dyDescent="0.25">
      <c r="A416" t="s">
        <v>87</v>
      </c>
    </row>
    <row r="417" spans="1:1" x14ac:dyDescent="0.25">
      <c r="A417" t="s">
        <v>131</v>
      </c>
    </row>
    <row r="419" spans="1:1" x14ac:dyDescent="0.25">
      <c r="A419" t="s">
        <v>90</v>
      </c>
    </row>
    <row r="421" spans="1:1" x14ac:dyDescent="0.25">
      <c r="A421" t="s">
        <v>94</v>
      </c>
    </row>
    <row r="424" spans="1:1" x14ac:dyDescent="0.25">
      <c r="A424" t="s">
        <v>97</v>
      </c>
    </row>
    <row r="425" spans="1:1" x14ac:dyDescent="0.25">
      <c r="A425" t="s">
        <v>294</v>
      </c>
    </row>
    <row r="426" spans="1:1" x14ac:dyDescent="0.25">
      <c r="A426" t="s">
        <v>100</v>
      </c>
    </row>
    <row r="427" spans="1:1" x14ac:dyDescent="0.25">
      <c r="A427" t="s">
        <v>295</v>
      </c>
    </row>
    <row r="428" spans="1:1" x14ac:dyDescent="0.25">
      <c r="A428" t="s">
        <v>296</v>
      </c>
    </row>
    <row r="429" spans="1:1" x14ac:dyDescent="0.25">
      <c r="A429" t="s">
        <v>297</v>
      </c>
    </row>
    <row r="430" spans="1:1" x14ac:dyDescent="0.25">
      <c r="A430" t="s">
        <v>298</v>
      </c>
    </row>
    <row r="431" spans="1:1" x14ac:dyDescent="0.25">
      <c r="A431" t="s">
        <v>299</v>
      </c>
    </row>
    <row r="432" spans="1:1" x14ac:dyDescent="0.25">
      <c r="A432" t="s">
        <v>103</v>
      </c>
    </row>
    <row r="433" spans="1:1" x14ac:dyDescent="0.25">
      <c r="A433" t="s">
        <v>300</v>
      </c>
    </row>
    <row r="434" spans="1:1" x14ac:dyDescent="0.25">
      <c r="A434" t="s">
        <v>301</v>
      </c>
    </row>
    <row r="435" spans="1:1" x14ac:dyDescent="0.25">
      <c r="A435" t="s">
        <v>302</v>
      </c>
    </row>
    <row r="436" spans="1:1" x14ac:dyDescent="0.25">
      <c r="A436" t="s">
        <v>106</v>
      </c>
    </row>
    <row r="438" spans="1:1" x14ac:dyDescent="0.25">
      <c r="A438" t="s">
        <v>115</v>
      </c>
    </row>
    <row r="439" spans="1:1" x14ac:dyDescent="0.25">
      <c r="A439" t="s">
        <v>303</v>
      </c>
    </row>
    <row r="440" spans="1:1" x14ac:dyDescent="0.25">
      <c r="A440" t="s">
        <v>304</v>
      </c>
    </row>
    <row r="441" spans="1:1" x14ac:dyDescent="0.25">
      <c r="A441" t="s">
        <v>305</v>
      </c>
    </row>
    <row r="442" spans="1:1" x14ac:dyDescent="0.25">
      <c r="A442" t="s">
        <v>306</v>
      </c>
    </row>
    <row r="443" spans="1:1" x14ac:dyDescent="0.25">
      <c r="A443" t="s">
        <v>307</v>
      </c>
    </row>
    <row r="444" spans="1:1" x14ac:dyDescent="0.25">
      <c r="A444" t="s">
        <v>119</v>
      </c>
    </row>
    <row r="445" spans="1:1" x14ac:dyDescent="0.25">
      <c r="A445" t="e">
        <f>-----нет</f>
        <v>#NAME?</v>
      </c>
    </row>
    <row r="446" spans="1:1" x14ac:dyDescent="0.25">
      <c r="A446" t="s">
        <v>159</v>
      </c>
    </row>
    <row r="447" spans="1:1" x14ac:dyDescent="0.25">
      <c r="A447" t="e">
        <f>-----нет</f>
        <v>#NAME?</v>
      </c>
    </row>
    <row r="448" spans="1:1" x14ac:dyDescent="0.25">
      <c r="A448" t="s">
        <v>247</v>
      </c>
    </row>
    <row r="449" spans="1:1" x14ac:dyDescent="0.25">
      <c r="A449" t="s">
        <v>308</v>
      </c>
    </row>
    <row r="450" spans="1:1" x14ac:dyDescent="0.25">
      <c r="A450" t="s">
        <v>309</v>
      </c>
    </row>
    <row r="451" spans="1:1" x14ac:dyDescent="0.25">
      <c r="A451" t="s">
        <v>124</v>
      </c>
    </row>
    <row r="452" spans="1:1" x14ac:dyDescent="0.25">
      <c r="A452" t="s">
        <v>545</v>
      </c>
    </row>
    <row r="453" spans="1:1" x14ac:dyDescent="0.25">
      <c r="A453" t="s">
        <v>546</v>
      </c>
    </row>
    <row r="454" spans="1:1" x14ac:dyDescent="0.25">
      <c r="A454" t="s">
        <v>126</v>
      </c>
    </row>
    <row r="455" spans="1:1" x14ac:dyDescent="0.25">
      <c r="A455" t="s">
        <v>547</v>
      </c>
    </row>
    <row r="456" spans="1:1" x14ac:dyDescent="0.25">
      <c r="A456" t="s">
        <v>669</v>
      </c>
    </row>
    <row r="457" spans="1:1" x14ac:dyDescent="0.25">
      <c r="A457" t="s">
        <v>127</v>
      </c>
    </row>
    <row r="459" spans="1:1" x14ac:dyDescent="0.25">
      <c r="A459" t="s">
        <v>670</v>
      </c>
    </row>
    <row r="460" spans="1:1" x14ac:dyDescent="0.25">
      <c r="A460" t="s">
        <v>83</v>
      </c>
    </row>
    <row r="461" spans="1:1" x14ac:dyDescent="0.25">
      <c r="A461" t="s">
        <v>260</v>
      </c>
    </row>
    <row r="462" spans="1:1" x14ac:dyDescent="0.25">
      <c r="A462" t="s">
        <v>87</v>
      </c>
    </row>
    <row r="463" spans="1:1" x14ac:dyDescent="0.25">
      <c r="A463" t="s">
        <v>131</v>
      </c>
    </row>
    <row r="465" spans="1:1" x14ac:dyDescent="0.25">
      <c r="A465" t="s">
        <v>90</v>
      </c>
    </row>
    <row r="467" spans="1:1" x14ac:dyDescent="0.25">
      <c r="A467" t="s">
        <v>94</v>
      </c>
    </row>
    <row r="470" spans="1:1" x14ac:dyDescent="0.25">
      <c r="A470" t="s">
        <v>97</v>
      </c>
    </row>
    <row r="472" spans="1:1" x14ac:dyDescent="0.25">
      <c r="A472" t="s">
        <v>100</v>
      </c>
    </row>
    <row r="474" spans="1:1" x14ac:dyDescent="0.25">
      <c r="A474" t="s">
        <v>103</v>
      </c>
    </row>
    <row r="476" spans="1:1" x14ac:dyDescent="0.25">
      <c r="A476" t="s">
        <v>106</v>
      </c>
    </row>
    <row r="478" spans="1:1" x14ac:dyDescent="0.25">
      <c r="A478" t="s">
        <v>115</v>
      </c>
    </row>
    <row r="479" spans="1:1" x14ac:dyDescent="0.25">
      <c r="A479" t="s">
        <v>223</v>
      </c>
    </row>
    <row r="480" spans="1:1" x14ac:dyDescent="0.25">
      <c r="A480" t="s">
        <v>119</v>
      </c>
    </row>
    <row r="482" spans="1:1" x14ac:dyDescent="0.25">
      <c r="A482" t="s">
        <v>159</v>
      </c>
    </row>
    <row r="484" spans="1:1" x14ac:dyDescent="0.25">
      <c r="A484" t="s">
        <v>124</v>
      </c>
    </row>
    <row r="486" spans="1:1" x14ac:dyDescent="0.25">
      <c r="A486" t="s">
        <v>126</v>
      </c>
    </row>
    <row r="488" spans="1:1" x14ac:dyDescent="0.25">
      <c r="A488" t="s">
        <v>127</v>
      </c>
    </row>
    <row r="490" spans="1:1" x14ac:dyDescent="0.25">
      <c r="A490" t="s">
        <v>699</v>
      </c>
    </row>
    <row r="491" spans="1:1" x14ac:dyDescent="0.25">
      <c r="A491" t="s">
        <v>83</v>
      </c>
    </row>
    <row r="492" spans="1:1" x14ac:dyDescent="0.25">
      <c r="A492" t="s">
        <v>311</v>
      </c>
    </row>
    <row r="493" spans="1:1" x14ac:dyDescent="0.25">
      <c r="A493" t="s">
        <v>312</v>
      </c>
    </row>
    <row r="494" spans="1:1" x14ac:dyDescent="0.25">
      <c r="A494" t="s">
        <v>87</v>
      </c>
    </row>
    <row r="495" spans="1:1" x14ac:dyDescent="0.25">
      <c r="A495" t="s">
        <v>131</v>
      </c>
    </row>
    <row r="496" spans="1:1" x14ac:dyDescent="0.25">
      <c r="A496" t="s">
        <v>700</v>
      </c>
    </row>
    <row r="497" spans="1:1" x14ac:dyDescent="0.25">
      <c r="A497" t="s">
        <v>90</v>
      </c>
    </row>
    <row r="498" spans="1:1" x14ac:dyDescent="0.25">
      <c r="A498" t="s">
        <v>94</v>
      </c>
    </row>
    <row r="499" spans="1:1" x14ac:dyDescent="0.25">
      <c r="A499" t="s">
        <v>701</v>
      </c>
    </row>
    <row r="500" spans="1:1" x14ac:dyDescent="0.25">
      <c r="A500" t="s">
        <v>702</v>
      </c>
    </row>
    <row r="501" spans="1:1" x14ac:dyDescent="0.25">
      <c r="A501" t="s">
        <v>703</v>
      </c>
    </row>
    <row r="502" spans="1:1" x14ac:dyDescent="0.25">
      <c r="A502" t="s">
        <v>704</v>
      </c>
    </row>
    <row r="503" spans="1:1" x14ac:dyDescent="0.25">
      <c r="A503" t="s">
        <v>97</v>
      </c>
    </row>
    <row r="504" spans="1:1" x14ac:dyDescent="0.25">
      <c r="A504" t="s">
        <v>705</v>
      </c>
    </row>
    <row r="505" spans="1:1" x14ac:dyDescent="0.25">
      <c r="A505" t="s">
        <v>100</v>
      </c>
    </row>
    <row r="506" spans="1:1" x14ac:dyDescent="0.25">
      <c r="A506" t="s">
        <v>549</v>
      </c>
    </row>
    <row r="507" spans="1:1" x14ac:dyDescent="0.25">
      <c r="A507" t="s">
        <v>103</v>
      </c>
    </row>
    <row r="508" spans="1:1" x14ac:dyDescent="0.25">
      <c r="A508" t="s">
        <v>706</v>
      </c>
    </row>
    <row r="509" spans="1:1" x14ac:dyDescent="0.25">
      <c r="A509" t="s">
        <v>707</v>
      </c>
    </row>
    <row r="510" spans="1:1" x14ac:dyDescent="0.25">
      <c r="A510" t="s">
        <v>708</v>
      </c>
    </row>
    <row r="511" spans="1:1" x14ac:dyDescent="0.25">
      <c r="A511" t="s">
        <v>106</v>
      </c>
    </row>
    <row r="512" spans="1:1" x14ac:dyDescent="0.25">
      <c r="A512" t="e">
        <f>-------нет</f>
        <v>#NAME?</v>
      </c>
    </row>
    <row r="513" spans="1:1" x14ac:dyDescent="0.25">
      <c r="A513" t="s">
        <v>115</v>
      </c>
    </row>
    <row r="514" spans="1:1" x14ac:dyDescent="0.25">
      <c r="A514" t="s">
        <v>1083</v>
      </c>
    </row>
    <row r="515" spans="1:1" x14ac:dyDescent="0.25">
      <c r="A515" t="s">
        <v>119</v>
      </c>
    </row>
    <row r="516" spans="1:1" x14ac:dyDescent="0.25">
      <c r="A516" t="s">
        <v>1084</v>
      </c>
    </row>
    <row r="517" spans="1:1" x14ac:dyDescent="0.25">
      <c r="A517" t="s">
        <v>159</v>
      </c>
    </row>
    <row r="518" spans="1:1" x14ac:dyDescent="0.25">
      <c r="A518" t="e">
        <f>------выше в ополчении</f>
        <v>#NAME?</v>
      </c>
    </row>
    <row r="519" spans="1:1" x14ac:dyDescent="0.25">
      <c r="A519" t="s">
        <v>124</v>
      </c>
    </row>
    <row r="520" spans="1:1" x14ac:dyDescent="0.25">
      <c r="A520" t="s">
        <v>709</v>
      </c>
    </row>
    <row r="521" spans="1:1" x14ac:dyDescent="0.25">
      <c r="A521" t="s">
        <v>710</v>
      </c>
    </row>
    <row r="522" spans="1:1" x14ac:dyDescent="0.25">
      <c r="A522" t="s">
        <v>711</v>
      </c>
    </row>
    <row r="523" spans="1:1" x14ac:dyDescent="0.25">
      <c r="A523" t="s">
        <v>126</v>
      </c>
    </row>
    <row r="524" spans="1:1" x14ac:dyDescent="0.25">
      <c r="A524" t="s">
        <v>712</v>
      </c>
    </row>
    <row r="525" spans="1:1" x14ac:dyDescent="0.25">
      <c r="A525" t="s">
        <v>1087</v>
      </c>
    </row>
    <row r="526" spans="1:1" x14ac:dyDescent="0.25">
      <c r="A526" t="s">
        <v>127</v>
      </c>
    </row>
    <row r="528" spans="1:1" x14ac:dyDescent="0.25">
      <c r="A528" t="s">
        <v>713</v>
      </c>
    </row>
    <row r="529" spans="1:1" x14ac:dyDescent="0.25">
      <c r="A529" t="s">
        <v>83</v>
      </c>
    </row>
    <row r="530" spans="1:1" x14ac:dyDescent="0.25">
      <c r="A530" t="s">
        <v>331</v>
      </c>
    </row>
    <row r="531" spans="1:1" x14ac:dyDescent="0.25">
      <c r="A531" t="s">
        <v>332</v>
      </c>
    </row>
    <row r="532" spans="1:1" x14ac:dyDescent="0.25">
      <c r="A532" t="s">
        <v>87</v>
      </c>
    </row>
    <row r="533" spans="1:1" x14ac:dyDescent="0.25">
      <c r="A533" t="s">
        <v>131</v>
      </c>
    </row>
    <row r="534" spans="1:1" x14ac:dyDescent="0.25">
      <c r="A534" t="s">
        <v>333</v>
      </c>
    </row>
    <row r="535" spans="1:1" x14ac:dyDescent="0.25">
      <c r="A535" t="s">
        <v>90</v>
      </c>
    </row>
    <row r="536" spans="1:1" x14ac:dyDescent="0.25">
      <c r="A536" t="e">
        <f>-------наемники</f>
        <v>#NAME?</v>
      </c>
    </row>
    <row r="537" spans="1:1" x14ac:dyDescent="0.25">
      <c r="A537" t="s">
        <v>94</v>
      </c>
    </row>
    <row r="538" spans="1:1" x14ac:dyDescent="0.25">
      <c r="A538" t="s">
        <v>97</v>
      </c>
    </row>
    <row r="539" spans="1:1" x14ac:dyDescent="0.25">
      <c r="A539" t="s">
        <v>714</v>
      </c>
    </row>
    <row r="540" spans="1:1" x14ac:dyDescent="0.25">
      <c r="A540" t="s">
        <v>715</v>
      </c>
    </row>
    <row r="541" spans="1:1" x14ac:dyDescent="0.25">
      <c r="A541" t="s">
        <v>100</v>
      </c>
    </row>
    <row r="542" spans="1:1" x14ac:dyDescent="0.25">
      <c r="A542" t="e">
        <f>-------наемники</f>
        <v>#NAME?</v>
      </c>
    </row>
    <row r="543" spans="1:1" x14ac:dyDescent="0.25">
      <c r="A543" t="s">
        <v>103</v>
      </c>
    </row>
    <row r="544" spans="1:1" x14ac:dyDescent="0.25">
      <c r="A544" t="s">
        <v>716</v>
      </c>
    </row>
    <row r="545" spans="1:1" x14ac:dyDescent="0.25">
      <c r="A545" t="s">
        <v>717</v>
      </c>
    </row>
    <row r="546" spans="1:1" x14ac:dyDescent="0.25">
      <c r="A546" t="s">
        <v>106</v>
      </c>
    </row>
    <row r="547" spans="1:1" x14ac:dyDescent="0.25">
      <c r="A547" t="e">
        <f>-------наемники</f>
        <v>#NAME?</v>
      </c>
    </row>
    <row r="548" spans="1:1" x14ac:dyDescent="0.25">
      <c r="A548" t="s">
        <v>115</v>
      </c>
    </row>
    <row r="549" spans="1:1" x14ac:dyDescent="0.25">
      <c r="A549" t="e">
        <f>-------наемники</f>
        <v>#NAME?</v>
      </c>
    </row>
    <row r="550" spans="1:1" x14ac:dyDescent="0.25">
      <c r="A550" t="s">
        <v>119</v>
      </c>
    </row>
    <row r="551" spans="1:1" x14ac:dyDescent="0.25">
      <c r="A551" t="e">
        <f>-------наемники</f>
        <v>#NAME?</v>
      </c>
    </row>
    <row r="552" spans="1:1" x14ac:dyDescent="0.25">
      <c r="A552" t="s">
        <v>159</v>
      </c>
    </row>
    <row r="553" spans="1:1" x14ac:dyDescent="0.25">
      <c r="A553" t="e">
        <f>-------наемники</f>
        <v>#NAME?</v>
      </c>
    </row>
    <row r="554" spans="1:1" x14ac:dyDescent="0.25">
      <c r="A554" t="s">
        <v>124</v>
      </c>
    </row>
    <row r="555" spans="1:1" x14ac:dyDescent="0.25">
      <c r="A555" t="s">
        <v>718</v>
      </c>
    </row>
    <row r="556" spans="1:1" x14ac:dyDescent="0.25">
      <c r="A556" t="s">
        <v>719</v>
      </c>
    </row>
    <row r="557" spans="1:1" x14ac:dyDescent="0.25">
      <c r="A557" t="s">
        <v>126</v>
      </c>
    </row>
    <row r="558" spans="1:1" x14ac:dyDescent="0.25">
      <c r="A558" t="e">
        <f>-------наемники</f>
        <v>#NAME?</v>
      </c>
    </row>
    <row r="559" spans="1:1" x14ac:dyDescent="0.25">
      <c r="A559" t="s">
        <v>127</v>
      </c>
    </row>
    <row r="561" spans="1:1" x14ac:dyDescent="0.25">
      <c r="A561" t="s">
        <v>720</v>
      </c>
    </row>
    <row r="562" spans="1:1" x14ac:dyDescent="0.25">
      <c r="A562" t="s">
        <v>83</v>
      </c>
    </row>
    <row r="563" spans="1:1" x14ac:dyDescent="0.25">
      <c r="A563" t="s">
        <v>344</v>
      </c>
    </row>
    <row r="564" spans="1:1" x14ac:dyDescent="0.25">
      <c r="A564" t="s">
        <v>345</v>
      </c>
    </row>
    <row r="565" spans="1:1" x14ac:dyDescent="0.25">
      <c r="A565" t="s">
        <v>87</v>
      </c>
    </row>
    <row r="566" spans="1:1" x14ac:dyDescent="0.25">
      <c r="A566" t="s">
        <v>131</v>
      </c>
    </row>
    <row r="567" spans="1:1" x14ac:dyDescent="0.25">
      <c r="A567" t="s">
        <v>346</v>
      </c>
    </row>
    <row r="568" spans="1:1" x14ac:dyDescent="0.25">
      <c r="A568" t="s">
        <v>90</v>
      </c>
    </row>
    <row r="570" spans="1:1" x14ac:dyDescent="0.25">
      <c r="A570" t="s">
        <v>94</v>
      </c>
    </row>
    <row r="572" spans="1:1" x14ac:dyDescent="0.25">
      <c r="A572" t="s">
        <v>97</v>
      </c>
    </row>
    <row r="574" spans="1:1" x14ac:dyDescent="0.25">
      <c r="A574" t="s">
        <v>100</v>
      </c>
    </row>
    <row r="576" spans="1:1" x14ac:dyDescent="0.25">
      <c r="A576" t="s">
        <v>103</v>
      </c>
    </row>
    <row r="578" spans="1:1" x14ac:dyDescent="0.25">
      <c r="A578" t="s">
        <v>106</v>
      </c>
    </row>
    <row r="579" spans="1:1" x14ac:dyDescent="0.25">
      <c r="A579" t="s">
        <v>347</v>
      </c>
    </row>
    <row r="580" spans="1:1" x14ac:dyDescent="0.25">
      <c r="A580" t="s">
        <v>348</v>
      </c>
    </row>
    <row r="581" spans="1:1" x14ac:dyDescent="0.25">
      <c r="A581" t="s">
        <v>115</v>
      </c>
    </row>
    <row r="582" spans="1:1" x14ac:dyDescent="0.25">
      <c r="A582" t="s">
        <v>223</v>
      </c>
    </row>
    <row r="583" spans="1:1" x14ac:dyDescent="0.25">
      <c r="A583" t="s">
        <v>119</v>
      </c>
    </row>
    <row r="585" spans="1:1" x14ac:dyDescent="0.25">
      <c r="A585" t="s">
        <v>159</v>
      </c>
    </row>
    <row r="587" spans="1:1" x14ac:dyDescent="0.25">
      <c r="A587" t="s">
        <v>124</v>
      </c>
    </row>
    <row r="589" spans="1:1" x14ac:dyDescent="0.25">
      <c r="A589" t="s">
        <v>126</v>
      </c>
    </row>
    <row r="591" spans="1:1" x14ac:dyDescent="0.25">
      <c r="A591" t="s">
        <v>127</v>
      </c>
    </row>
    <row r="593" spans="1:1" x14ac:dyDescent="0.25">
      <c r="A593" t="s">
        <v>736</v>
      </c>
    </row>
    <row r="594" spans="1:1" x14ac:dyDescent="0.25">
      <c r="A594" t="s">
        <v>83</v>
      </c>
    </row>
    <row r="595" spans="1:1" x14ac:dyDescent="0.25">
      <c r="A595" t="s">
        <v>350</v>
      </c>
    </row>
    <row r="596" spans="1:1" x14ac:dyDescent="0.25">
      <c r="A596" t="e">
        <f>- Нормальная тяжелая конница</f>
        <v>#NAME?</v>
      </c>
    </row>
    <row r="597" spans="1:1" x14ac:dyDescent="0.25">
      <c r="A597" t="e">
        <f>- много спешенной и пешей тяжелой пехоты.</f>
        <v>#NAME?</v>
      </c>
    </row>
    <row r="598" spans="1:1" x14ac:dyDescent="0.25">
      <c r="A598" t="s">
        <v>351</v>
      </c>
    </row>
    <row r="599" spans="1:1" x14ac:dyDescent="0.25">
      <c r="A599" t="s">
        <v>352</v>
      </c>
    </row>
    <row r="600" spans="1:1" x14ac:dyDescent="0.25">
      <c r="A600" t="s">
        <v>353</v>
      </c>
    </row>
    <row r="601" spans="1:1" x14ac:dyDescent="0.25">
      <c r="A601" t="e">
        <f>- Лондонское ополчение - воины высочайшего класса и тяжеленной брони</f>
        <v>#NAME?</v>
      </c>
    </row>
    <row r="602" spans="1:1" x14ac:dyDescent="0.25">
      <c r="A602" t="s">
        <v>87</v>
      </c>
    </row>
    <row r="603" spans="1:1" x14ac:dyDescent="0.25">
      <c r="A603" t="s">
        <v>131</v>
      </c>
    </row>
    <row r="604" spans="1:1" x14ac:dyDescent="0.25">
      <c r="A604" t="s">
        <v>354</v>
      </c>
    </row>
    <row r="605" spans="1:1" x14ac:dyDescent="0.25">
      <c r="A605" t="s">
        <v>355</v>
      </c>
    </row>
    <row r="606" spans="1:1" x14ac:dyDescent="0.25">
      <c r="A606" t="s">
        <v>90</v>
      </c>
    </row>
    <row r="607" spans="1:1" x14ac:dyDescent="0.25">
      <c r="A607" t="s">
        <v>356</v>
      </c>
    </row>
    <row r="608" spans="1:1" x14ac:dyDescent="0.25">
      <c r="A608" t="s">
        <v>94</v>
      </c>
    </row>
    <row r="609" spans="1:1" x14ac:dyDescent="0.25">
      <c r="A609" t="s">
        <v>721</v>
      </c>
    </row>
    <row r="610" spans="1:1" x14ac:dyDescent="0.25">
      <c r="A610" t="s">
        <v>722</v>
      </c>
    </row>
    <row r="611" spans="1:1" x14ac:dyDescent="0.25">
      <c r="A611" t="s">
        <v>97</v>
      </c>
    </row>
    <row r="612" spans="1:1" x14ac:dyDescent="0.25">
      <c r="A612" t="s">
        <v>723</v>
      </c>
    </row>
    <row r="613" spans="1:1" x14ac:dyDescent="0.25">
      <c r="A613" t="s">
        <v>724</v>
      </c>
    </row>
    <row r="614" spans="1:1" x14ac:dyDescent="0.25">
      <c r="A614" t="s">
        <v>725</v>
      </c>
    </row>
    <row r="615" spans="1:1" x14ac:dyDescent="0.25">
      <c r="A615" t="s">
        <v>726</v>
      </c>
    </row>
    <row r="616" spans="1:1" x14ac:dyDescent="0.25">
      <c r="A616" t="s">
        <v>100</v>
      </c>
    </row>
    <row r="617" spans="1:1" x14ac:dyDescent="0.25">
      <c r="A617" t="e">
        <f>------наемники</f>
        <v>#NAME?</v>
      </c>
    </row>
    <row r="618" spans="1:1" x14ac:dyDescent="0.25">
      <c r="A618" t="s">
        <v>103</v>
      </c>
    </row>
    <row r="619" spans="1:1" x14ac:dyDescent="0.25">
      <c r="A619" t="s">
        <v>737</v>
      </c>
    </row>
    <row r="620" spans="1:1" x14ac:dyDescent="0.25">
      <c r="A620" t="s">
        <v>738</v>
      </c>
    </row>
    <row r="621" spans="1:1" x14ac:dyDescent="0.25">
      <c r="A621" t="s">
        <v>106</v>
      </c>
    </row>
    <row r="622" spans="1:1" x14ac:dyDescent="0.25">
      <c r="A622" t="s">
        <v>739</v>
      </c>
    </row>
    <row r="623" spans="1:1" x14ac:dyDescent="0.25">
      <c r="A623" t="s">
        <v>115</v>
      </c>
    </row>
    <row r="624" spans="1:1" x14ac:dyDescent="0.25">
      <c r="A624" t="s">
        <v>740</v>
      </c>
    </row>
    <row r="625" spans="1:1" x14ac:dyDescent="0.25">
      <c r="A625" t="s">
        <v>741</v>
      </c>
    </row>
    <row r="626" spans="1:1" x14ac:dyDescent="0.25">
      <c r="A626" t="s">
        <v>119</v>
      </c>
    </row>
    <row r="627" spans="1:1" x14ac:dyDescent="0.25">
      <c r="A627" t="s">
        <v>742</v>
      </c>
    </row>
    <row r="628" spans="1:1" x14ac:dyDescent="0.25">
      <c r="A628" t="s">
        <v>159</v>
      </c>
    </row>
    <row r="629" spans="1:1" x14ac:dyDescent="0.25">
      <c r="A629" t="s">
        <v>743</v>
      </c>
    </row>
    <row r="630" spans="1:1" x14ac:dyDescent="0.25">
      <c r="A630" t="s">
        <v>247</v>
      </c>
    </row>
    <row r="631" spans="1:1" x14ac:dyDescent="0.25">
      <c r="A631" t="s">
        <v>744</v>
      </c>
    </row>
    <row r="632" spans="1:1" x14ac:dyDescent="0.25">
      <c r="A632" t="s">
        <v>745</v>
      </c>
    </row>
    <row r="633" spans="1:1" x14ac:dyDescent="0.25">
      <c r="A633" t="s">
        <v>746</v>
      </c>
    </row>
    <row r="634" spans="1:1" x14ac:dyDescent="0.25">
      <c r="A634" t="s">
        <v>747</v>
      </c>
    </row>
    <row r="635" spans="1:1" x14ac:dyDescent="0.25">
      <c r="A635" t="s">
        <v>124</v>
      </c>
    </row>
    <row r="636" spans="1:1" x14ac:dyDescent="0.25">
      <c r="A636" t="s">
        <v>748</v>
      </c>
    </row>
    <row r="637" spans="1:1" x14ac:dyDescent="0.25">
      <c r="A637" t="s">
        <v>749</v>
      </c>
    </row>
    <row r="638" spans="1:1" x14ac:dyDescent="0.25">
      <c r="A638" t="s">
        <v>750</v>
      </c>
    </row>
    <row r="639" spans="1:1" x14ac:dyDescent="0.25">
      <c r="A639" t="s">
        <v>126</v>
      </c>
    </row>
    <row r="640" spans="1:1" x14ac:dyDescent="0.25">
      <c r="A640" t="s">
        <v>382</v>
      </c>
    </row>
    <row r="641" spans="1:1" x14ac:dyDescent="0.25">
      <c r="A641" t="s">
        <v>127</v>
      </c>
    </row>
    <row r="643" spans="1:1" x14ac:dyDescent="0.25">
      <c r="A643" t="s">
        <v>727</v>
      </c>
    </row>
    <row r="644" spans="1:1" x14ac:dyDescent="0.25">
      <c r="A644" t="s">
        <v>83</v>
      </c>
    </row>
    <row r="645" spans="1:1" x14ac:dyDescent="0.25">
      <c r="A645" t="e">
        <f>- много денег</f>
        <v>#NAME?</v>
      </c>
    </row>
    <row r="646" spans="1:1" x14ac:dyDescent="0.25">
      <c r="A646" t="e">
        <f>- швейцарская гвардия</f>
        <v>#NAME?</v>
      </c>
    </row>
    <row r="647" spans="1:1" x14ac:dyDescent="0.25">
      <c r="A647" t="s">
        <v>87</v>
      </c>
    </row>
    <row r="648" spans="1:1" x14ac:dyDescent="0.25">
      <c r="A648" t="s">
        <v>131</v>
      </c>
    </row>
    <row r="650" spans="1:1" x14ac:dyDescent="0.25">
      <c r="A650" t="s">
        <v>90</v>
      </c>
    </row>
    <row r="652" spans="1:1" x14ac:dyDescent="0.25">
      <c r="A652" t="s">
        <v>94</v>
      </c>
    </row>
    <row r="654" spans="1:1" x14ac:dyDescent="0.25">
      <c r="A654" t="s">
        <v>97</v>
      </c>
    </row>
    <row r="656" spans="1:1" x14ac:dyDescent="0.25">
      <c r="A656" t="s">
        <v>100</v>
      </c>
    </row>
    <row r="658" spans="1:1" x14ac:dyDescent="0.25">
      <c r="A658" t="s">
        <v>103</v>
      </c>
    </row>
    <row r="660" spans="1:1" x14ac:dyDescent="0.25">
      <c r="A660" t="s">
        <v>106</v>
      </c>
    </row>
    <row r="662" spans="1:1" x14ac:dyDescent="0.25">
      <c r="A662" t="s">
        <v>115</v>
      </c>
    </row>
    <row r="663" spans="1:1" x14ac:dyDescent="0.25">
      <c r="A663" t="s">
        <v>223</v>
      </c>
    </row>
    <row r="664" spans="1:1" x14ac:dyDescent="0.25">
      <c r="A664" t="s">
        <v>119</v>
      </c>
    </row>
    <row r="666" spans="1:1" x14ac:dyDescent="0.25">
      <c r="A666" t="s">
        <v>159</v>
      </c>
    </row>
    <row r="668" spans="1:1" x14ac:dyDescent="0.25">
      <c r="A668" t="s">
        <v>124</v>
      </c>
    </row>
    <row r="670" spans="1:1" x14ac:dyDescent="0.25">
      <c r="A670" t="s">
        <v>126</v>
      </c>
    </row>
    <row r="671" spans="1:1" x14ac:dyDescent="0.25">
      <c r="A671" t="s">
        <v>384</v>
      </c>
    </row>
    <row r="672" spans="1:1" x14ac:dyDescent="0.25">
      <c r="A672" t="s">
        <v>554</v>
      </c>
    </row>
    <row r="673" spans="1:1" x14ac:dyDescent="0.25">
      <c r="A673" t="s">
        <v>127</v>
      </c>
    </row>
    <row r="675" spans="1:1" x14ac:dyDescent="0.25">
      <c r="A675" t="s">
        <v>728</v>
      </c>
    </row>
    <row r="676" spans="1:1" x14ac:dyDescent="0.25">
      <c r="A676" t="s">
        <v>83</v>
      </c>
    </row>
    <row r="678" spans="1:1" x14ac:dyDescent="0.25">
      <c r="A678" t="s">
        <v>87</v>
      </c>
    </row>
    <row r="679" spans="1:1" x14ac:dyDescent="0.25">
      <c r="A679" t="s">
        <v>131</v>
      </c>
    </row>
    <row r="681" spans="1:1" x14ac:dyDescent="0.25">
      <c r="A681" t="s">
        <v>90</v>
      </c>
    </row>
    <row r="683" spans="1:1" x14ac:dyDescent="0.25">
      <c r="A683" t="s">
        <v>94</v>
      </c>
    </row>
    <row r="685" spans="1:1" x14ac:dyDescent="0.25">
      <c r="A685" t="s">
        <v>97</v>
      </c>
    </row>
    <row r="687" spans="1:1" x14ac:dyDescent="0.25">
      <c r="A687" t="s">
        <v>100</v>
      </c>
    </row>
    <row r="689" spans="1:1" x14ac:dyDescent="0.25">
      <c r="A689" t="s">
        <v>103</v>
      </c>
    </row>
    <row r="691" spans="1:1" x14ac:dyDescent="0.25">
      <c r="A691" t="s">
        <v>106</v>
      </c>
    </row>
    <row r="693" spans="1:1" x14ac:dyDescent="0.25">
      <c r="A693" t="s">
        <v>115</v>
      </c>
    </row>
    <row r="694" spans="1:1" x14ac:dyDescent="0.25">
      <c r="A694" t="s">
        <v>223</v>
      </c>
    </row>
    <row r="695" spans="1:1" x14ac:dyDescent="0.25">
      <c r="A695" t="s">
        <v>119</v>
      </c>
    </row>
    <row r="697" spans="1:1" x14ac:dyDescent="0.25">
      <c r="A697" t="s">
        <v>159</v>
      </c>
    </row>
    <row r="699" spans="1:1" x14ac:dyDescent="0.25">
      <c r="A699" t="s">
        <v>124</v>
      </c>
    </row>
    <row r="701" spans="1:1" x14ac:dyDescent="0.25">
      <c r="A701" t="s">
        <v>126</v>
      </c>
    </row>
    <row r="703" spans="1:1" x14ac:dyDescent="0.25">
      <c r="A703" t="s">
        <v>127</v>
      </c>
    </row>
    <row r="705" spans="1:1" x14ac:dyDescent="0.25">
      <c r="A705" t="s">
        <v>729</v>
      </c>
    </row>
    <row r="706" spans="1:1" x14ac:dyDescent="0.25">
      <c r="A706" t="s">
        <v>83</v>
      </c>
    </row>
    <row r="707" spans="1:1" x14ac:dyDescent="0.25">
      <c r="A707" t="e">
        <f>- отличная легкая конница в больших количествах.</f>
        <v>#NAME?</v>
      </c>
    </row>
    <row r="708" spans="1:1" x14ac:dyDescent="0.25">
      <c r="A708" t="s">
        <v>385</v>
      </c>
    </row>
    <row r="709" spans="1:1" x14ac:dyDescent="0.25">
      <c r="A709" t="s">
        <v>386</v>
      </c>
    </row>
    <row r="710" spans="1:1" x14ac:dyDescent="0.25">
      <c r="A710" t="e">
        <f>- Большое количество очень хороших аркебузеров.</f>
        <v>#NAME?</v>
      </c>
    </row>
    <row r="711" spans="1:1" x14ac:dyDescent="0.25">
      <c r="A711" t="e">
        <f>- очень много денег от столичного города.</f>
        <v>#NAME?</v>
      </c>
    </row>
    <row r="713" spans="1:1" x14ac:dyDescent="0.25">
      <c r="A713" t="s">
        <v>387</v>
      </c>
    </row>
    <row r="714" spans="1:1" x14ac:dyDescent="0.25">
      <c r="A714" t="s">
        <v>388</v>
      </c>
    </row>
    <row r="715" spans="1:1" x14ac:dyDescent="0.25">
      <c r="A715" t="s">
        <v>389</v>
      </c>
    </row>
    <row r="716" spans="1:1" x14ac:dyDescent="0.25">
      <c r="A716" t="s">
        <v>87</v>
      </c>
    </row>
    <row r="717" spans="1:1" x14ac:dyDescent="0.25">
      <c r="A717" t="s">
        <v>131</v>
      </c>
    </row>
    <row r="718" spans="1:1" x14ac:dyDescent="0.25">
      <c r="A718" t="s">
        <v>390</v>
      </c>
    </row>
    <row r="719" spans="1:1" x14ac:dyDescent="0.25">
      <c r="A719" t="s">
        <v>391</v>
      </c>
    </row>
    <row r="720" spans="1:1" x14ac:dyDescent="0.25">
      <c r="A720" t="s">
        <v>90</v>
      </c>
    </row>
    <row r="721" spans="1:1" x14ac:dyDescent="0.25">
      <c r="A721" t="s">
        <v>392</v>
      </c>
    </row>
    <row r="722" spans="1:1" x14ac:dyDescent="0.25">
      <c r="A722" t="s">
        <v>393</v>
      </c>
    </row>
    <row r="723" spans="1:1" x14ac:dyDescent="0.25">
      <c r="A723" t="s">
        <v>94</v>
      </c>
    </row>
    <row r="724" spans="1:1" x14ac:dyDescent="0.25">
      <c r="A724" t="s">
        <v>394</v>
      </c>
    </row>
    <row r="725" spans="1:1" x14ac:dyDescent="0.25">
      <c r="A725" t="s">
        <v>395</v>
      </c>
    </row>
    <row r="726" spans="1:1" x14ac:dyDescent="0.25">
      <c r="A726" t="s">
        <v>396</v>
      </c>
    </row>
    <row r="727" spans="1:1" x14ac:dyDescent="0.25">
      <c r="A727" t="s">
        <v>397</v>
      </c>
    </row>
    <row r="728" spans="1:1" x14ac:dyDescent="0.25">
      <c r="A728" t="s">
        <v>97</v>
      </c>
    </row>
    <row r="729" spans="1:1" x14ac:dyDescent="0.25">
      <c r="A729" t="s">
        <v>398</v>
      </c>
    </row>
    <row r="730" spans="1:1" x14ac:dyDescent="0.25">
      <c r="A730" t="s">
        <v>100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103</v>
      </c>
    </row>
    <row r="734" spans="1:1" x14ac:dyDescent="0.25">
      <c r="A734" t="e">
        <f>------наемники</f>
        <v>#NAME?</v>
      </c>
    </row>
    <row r="735" spans="1:1" x14ac:dyDescent="0.25">
      <c r="A735" t="s">
        <v>106</v>
      </c>
    </row>
    <row r="736" spans="1:1" x14ac:dyDescent="0.25">
      <c r="A736" t="s">
        <v>732</v>
      </c>
    </row>
    <row r="737" spans="1:1" x14ac:dyDescent="0.25">
      <c r="A737" t="s">
        <v>751</v>
      </c>
    </row>
    <row r="738" spans="1:1" x14ac:dyDescent="0.25">
      <c r="A738" t="s">
        <v>752</v>
      </c>
    </row>
    <row r="739" spans="1:1" x14ac:dyDescent="0.25">
      <c r="A739" t="s">
        <v>115</v>
      </c>
    </row>
    <row r="740" spans="1:1" x14ac:dyDescent="0.25">
      <c r="A740" t="e">
        <f>------наемники</f>
        <v>#NAME?</v>
      </c>
    </row>
    <row r="741" spans="1:1" x14ac:dyDescent="0.25">
      <c r="A741" t="s">
        <v>119</v>
      </c>
    </row>
    <row r="742" spans="1:1" x14ac:dyDescent="0.25">
      <c r="A742" t="e">
        <f>-------наемники</f>
        <v>#NAME?</v>
      </c>
    </row>
    <row r="743" spans="1:1" x14ac:dyDescent="0.25">
      <c r="A743" t="s">
        <v>159</v>
      </c>
    </row>
    <row r="744" spans="1:1" x14ac:dyDescent="0.25">
      <c r="A744" t="e">
        <f>-------наемники</f>
        <v>#NAME?</v>
      </c>
    </row>
    <row r="745" spans="1:1" x14ac:dyDescent="0.25">
      <c r="A745" t="s">
        <v>124</v>
      </c>
    </row>
    <row r="746" spans="1:1" x14ac:dyDescent="0.25">
      <c r="A746" t="s">
        <v>414</v>
      </c>
    </row>
    <row r="747" spans="1:1" x14ac:dyDescent="0.25">
      <c r="A747" t="s">
        <v>126</v>
      </c>
    </row>
    <row r="748" spans="1:1" x14ac:dyDescent="0.25">
      <c r="A748" t="s">
        <v>733</v>
      </c>
    </row>
    <row r="749" spans="1:1" x14ac:dyDescent="0.25">
      <c r="A749" t="s">
        <v>734</v>
      </c>
    </row>
    <row r="750" spans="1:1" x14ac:dyDescent="0.25">
      <c r="A750" t="s">
        <v>735</v>
      </c>
    </row>
    <row r="751" spans="1:1" x14ac:dyDescent="0.25">
      <c r="A751" t="s">
        <v>127</v>
      </c>
    </row>
    <row r="753" spans="1:1" x14ac:dyDescent="0.25">
      <c r="A753" t="s">
        <v>753</v>
      </c>
    </row>
    <row r="754" spans="1:1" x14ac:dyDescent="0.25">
      <c r="A754" t="s">
        <v>83</v>
      </c>
    </row>
    <row r="756" spans="1:1" x14ac:dyDescent="0.25">
      <c r="A756" t="s">
        <v>87</v>
      </c>
    </row>
    <row r="757" spans="1:1" x14ac:dyDescent="0.25">
      <c r="A757" t="s">
        <v>131</v>
      </c>
    </row>
    <row r="759" spans="1:1" x14ac:dyDescent="0.25">
      <c r="A759" t="s">
        <v>90</v>
      </c>
    </row>
    <row r="761" spans="1:1" x14ac:dyDescent="0.25">
      <c r="A761" t="s">
        <v>94</v>
      </c>
    </row>
    <row r="763" spans="1:1" x14ac:dyDescent="0.25">
      <c r="A763" t="s">
        <v>97</v>
      </c>
    </row>
    <row r="765" spans="1:1" x14ac:dyDescent="0.25">
      <c r="A765" t="s">
        <v>100</v>
      </c>
    </row>
    <row r="767" spans="1:1" x14ac:dyDescent="0.25">
      <c r="A767" t="s">
        <v>103</v>
      </c>
    </row>
    <row r="769" spans="1:1" x14ac:dyDescent="0.25">
      <c r="A769" t="s">
        <v>106</v>
      </c>
    </row>
    <row r="771" spans="1:1" x14ac:dyDescent="0.25">
      <c r="A771" t="s">
        <v>115</v>
      </c>
    </row>
    <row r="772" spans="1:1" x14ac:dyDescent="0.25">
      <c r="A772" t="s">
        <v>223</v>
      </c>
    </row>
    <row r="773" spans="1:1" x14ac:dyDescent="0.25">
      <c r="A773" t="s">
        <v>119</v>
      </c>
    </row>
    <row r="775" spans="1:1" x14ac:dyDescent="0.25">
      <c r="A775" t="s">
        <v>159</v>
      </c>
    </row>
    <row r="777" spans="1:1" x14ac:dyDescent="0.25">
      <c r="A777" t="s">
        <v>124</v>
      </c>
    </row>
    <row r="779" spans="1:1" x14ac:dyDescent="0.25">
      <c r="A779" t="s">
        <v>126</v>
      </c>
    </row>
    <row r="781" spans="1:1" x14ac:dyDescent="0.25">
      <c r="A781" t="s">
        <v>127</v>
      </c>
    </row>
    <row r="783" spans="1:1" x14ac:dyDescent="0.25">
      <c r="A783" t="s">
        <v>559</v>
      </c>
    </row>
    <row r="784" spans="1:1" x14ac:dyDescent="0.25">
      <c r="A784" t="s">
        <v>83</v>
      </c>
    </row>
    <row r="785" spans="1:1" x14ac:dyDescent="0.25">
      <c r="A785" t="s">
        <v>418</v>
      </c>
    </row>
    <row r="786" spans="1:1" x14ac:dyDescent="0.25">
      <c r="A786" t="s">
        <v>419</v>
      </c>
    </row>
    <row r="787" spans="1:1" x14ac:dyDescent="0.25">
      <c r="A787" t="e">
        <f>- и христианская гвардия</f>
        <v>#NAME?</v>
      </c>
    </row>
    <row r="788" spans="1:1" x14ac:dyDescent="0.25">
      <c r="A788" t="s">
        <v>87</v>
      </c>
    </row>
    <row r="789" spans="1:1" x14ac:dyDescent="0.25">
      <c r="A789" t="s">
        <v>131</v>
      </c>
    </row>
    <row r="790" spans="1:1" x14ac:dyDescent="0.25">
      <c r="A790" t="s">
        <v>420</v>
      </c>
    </row>
    <row r="791" spans="1:1" x14ac:dyDescent="0.25">
      <c r="A791" t="s">
        <v>90</v>
      </c>
    </row>
    <row r="792" spans="1:1" x14ac:dyDescent="0.25">
      <c r="A792" t="s">
        <v>421</v>
      </c>
    </row>
    <row r="793" spans="1:1" x14ac:dyDescent="0.25">
      <c r="A793" t="s">
        <v>422</v>
      </c>
    </row>
    <row r="794" spans="1:1" x14ac:dyDescent="0.25">
      <c r="A794" t="s">
        <v>94</v>
      </c>
    </row>
    <row r="795" spans="1:1" x14ac:dyDescent="0.25">
      <c r="A795" t="s">
        <v>423</v>
      </c>
    </row>
    <row r="796" spans="1:1" x14ac:dyDescent="0.25">
      <c r="A796" t="s">
        <v>424</v>
      </c>
    </row>
    <row r="797" spans="1:1" x14ac:dyDescent="0.25">
      <c r="A797" t="s">
        <v>425</v>
      </c>
    </row>
    <row r="798" spans="1:1" x14ac:dyDescent="0.25">
      <c r="A798" t="s">
        <v>97</v>
      </c>
    </row>
    <row r="799" spans="1:1" x14ac:dyDescent="0.25">
      <c r="A799" t="e">
        <f>--------нет</f>
        <v>#NAME?</v>
      </c>
    </row>
    <row r="800" spans="1:1" x14ac:dyDescent="0.25">
      <c r="A800" t="s">
        <v>100</v>
      </c>
    </row>
    <row r="801" spans="1:1" x14ac:dyDescent="0.25">
      <c r="A801" t="s">
        <v>426</v>
      </c>
    </row>
    <row r="802" spans="1:1" x14ac:dyDescent="0.25">
      <c r="A802" t="s">
        <v>427</v>
      </c>
    </row>
    <row r="803" spans="1:1" x14ac:dyDescent="0.25">
      <c r="A803" t="s">
        <v>103</v>
      </c>
    </row>
    <row r="804" spans="1:1" x14ac:dyDescent="0.25">
      <c r="A804" t="e">
        <f>--------нет</f>
        <v>#NAME?</v>
      </c>
    </row>
    <row r="805" spans="1:1" x14ac:dyDescent="0.25">
      <c r="A805" t="s">
        <v>106</v>
      </c>
    </row>
    <row r="806" spans="1:1" x14ac:dyDescent="0.25">
      <c r="A806" t="e">
        <f>--------нет</f>
        <v>#NAME?</v>
      </c>
    </row>
    <row r="807" spans="1:1" x14ac:dyDescent="0.25">
      <c r="A807" t="s">
        <v>115</v>
      </c>
    </row>
    <row r="808" spans="1:1" x14ac:dyDescent="0.25">
      <c r="A808" t="e">
        <f>--------в ополчении</f>
        <v>#NAME?</v>
      </c>
    </row>
    <row r="809" spans="1:1" x14ac:dyDescent="0.25">
      <c r="A809" t="s">
        <v>119</v>
      </c>
    </row>
    <row r="810" spans="1:1" x14ac:dyDescent="0.25">
      <c r="A810" t="s">
        <v>428</v>
      </c>
    </row>
    <row r="811" spans="1:1" x14ac:dyDescent="0.25">
      <c r="A811" t="s">
        <v>159</v>
      </c>
    </row>
    <row r="812" spans="1:1" x14ac:dyDescent="0.25">
      <c r="A812" t="e">
        <f>------выше в ополчении</f>
        <v>#NAME?</v>
      </c>
    </row>
    <row r="813" spans="1:1" x14ac:dyDescent="0.25">
      <c r="A813" t="s">
        <v>429</v>
      </c>
    </row>
    <row r="814" spans="1:1" x14ac:dyDescent="0.25">
      <c r="A814" t="s">
        <v>754</v>
      </c>
    </row>
    <row r="815" spans="1:1" x14ac:dyDescent="0.25">
      <c r="A815" t="s">
        <v>126</v>
      </c>
    </row>
    <row r="816" spans="1:1" x14ac:dyDescent="0.25">
      <c r="A816" t="e">
        <f>-------нет</f>
        <v>#NAME?</v>
      </c>
    </row>
    <row r="817" spans="1:1" x14ac:dyDescent="0.25">
      <c r="A817" t="s">
        <v>127</v>
      </c>
    </row>
    <row r="819" spans="1:1" x14ac:dyDescent="0.25">
      <c r="A819" t="s">
        <v>755</v>
      </c>
    </row>
    <row r="820" spans="1:1" x14ac:dyDescent="0.25">
      <c r="A820" t="s">
        <v>83</v>
      </c>
    </row>
    <row r="822" spans="1:1" x14ac:dyDescent="0.25">
      <c r="A822" t="s">
        <v>87</v>
      </c>
    </row>
    <row r="823" spans="1:1" x14ac:dyDescent="0.25">
      <c r="A823" t="s">
        <v>131</v>
      </c>
    </row>
    <row r="825" spans="1:1" x14ac:dyDescent="0.25">
      <c r="A825" t="s">
        <v>90</v>
      </c>
    </row>
    <row r="827" spans="1:1" x14ac:dyDescent="0.25">
      <c r="A827" t="s">
        <v>94</v>
      </c>
    </row>
    <row r="829" spans="1:1" x14ac:dyDescent="0.25">
      <c r="A829" t="s">
        <v>97</v>
      </c>
    </row>
    <row r="831" spans="1:1" x14ac:dyDescent="0.25">
      <c r="A831" t="s">
        <v>100</v>
      </c>
    </row>
    <row r="833" spans="1:1" x14ac:dyDescent="0.25">
      <c r="A833" t="s">
        <v>103</v>
      </c>
    </row>
    <row r="835" spans="1:1" x14ac:dyDescent="0.25">
      <c r="A835" t="s">
        <v>106</v>
      </c>
    </row>
    <row r="837" spans="1:1" x14ac:dyDescent="0.25">
      <c r="A837" t="s">
        <v>115</v>
      </c>
    </row>
    <row r="838" spans="1:1" x14ac:dyDescent="0.25">
      <c r="A838" t="s">
        <v>223</v>
      </c>
    </row>
    <row r="839" spans="1:1" x14ac:dyDescent="0.25">
      <c r="A839" t="s">
        <v>119</v>
      </c>
    </row>
    <row r="841" spans="1:1" x14ac:dyDescent="0.25">
      <c r="A841" t="s">
        <v>159</v>
      </c>
    </row>
    <row r="843" spans="1:1" x14ac:dyDescent="0.25">
      <c r="A843" t="s">
        <v>124</v>
      </c>
    </row>
    <row r="845" spans="1:1" x14ac:dyDescent="0.25">
      <c r="A845" t="s">
        <v>126</v>
      </c>
    </row>
    <row r="846" spans="1:1" x14ac:dyDescent="0.25">
      <c r="A846" t="s">
        <v>756</v>
      </c>
    </row>
    <row r="847" spans="1:1" x14ac:dyDescent="0.25">
      <c r="A847" t="s">
        <v>757</v>
      </c>
    </row>
    <row r="848" spans="1:1" x14ac:dyDescent="0.25">
      <c r="A848" t="s">
        <v>127</v>
      </c>
    </row>
    <row r="850" spans="1:1" x14ac:dyDescent="0.25">
      <c r="A850" t="s">
        <v>758</v>
      </c>
    </row>
    <row r="851" spans="1:1" x14ac:dyDescent="0.25">
      <c r="A851" t="s">
        <v>83</v>
      </c>
    </row>
    <row r="853" spans="1:1" x14ac:dyDescent="0.25">
      <c r="A853" t="s">
        <v>87</v>
      </c>
    </row>
    <row r="854" spans="1:1" x14ac:dyDescent="0.25">
      <c r="A854" t="s">
        <v>131</v>
      </c>
    </row>
    <row r="856" spans="1:1" x14ac:dyDescent="0.25">
      <c r="A856" t="s">
        <v>90</v>
      </c>
    </row>
    <row r="858" spans="1:1" x14ac:dyDescent="0.25">
      <c r="A858" t="s">
        <v>94</v>
      </c>
    </row>
    <row r="860" spans="1:1" x14ac:dyDescent="0.25">
      <c r="A860" t="s">
        <v>97</v>
      </c>
    </row>
    <row r="862" spans="1:1" x14ac:dyDescent="0.25">
      <c r="A862" t="s">
        <v>100</v>
      </c>
    </row>
    <row r="864" spans="1:1" x14ac:dyDescent="0.25">
      <c r="A864" t="s">
        <v>103</v>
      </c>
    </row>
    <row r="866" spans="1:1" x14ac:dyDescent="0.25">
      <c r="A866" t="s">
        <v>106</v>
      </c>
    </row>
    <row r="868" spans="1:1" x14ac:dyDescent="0.25">
      <c r="A868" t="s">
        <v>115</v>
      </c>
    </row>
    <row r="869" spans="1:1" x14ac:dyDescent="0.25">
      <c r="A869" t="s">
        <v>223</v>
      </c>
    </row>
    <row r="870" spans="1:1" x14ac:dyDescent="0.25">
      <c r="A870" t="s">
        <v>119</v>
      </c>
    </row>
    <row r="872" spans="1:1" x14ac:dyDescent="0.25">
      <c r="A872" t="s">
        <v>159</v>
      </c>
    </row>
    <row r="874" spans="1:1" x14ac:dyDescent="0.25">
      <c r="A874" t="s">
        <v>124</v>
      </c>
    </row>
    <row r="876" spans="1:1" x14ac:dyDescent="0.25">
      <c r="A876" t="s">
        <v>126</v>
      </c>
    </row>
    <row r="878" spans="1:1" x14ac:dyDescent="0.25">
      <c r="A878" t="s">
        <v>127</v>
      </c>
    </row>
    <row r="880" spans="1:1" x14ac:dyDescent="0.25">
      <c r="A880" t="s">
        <v>759</v>
      </c>
    </row>
    <row r="881" spans="1:1" x14ac:dyDescent="0.25">
      <c r="A881" t="s">
        <v>83</v>
      </c>
    </row>
    <row r="883" spans="1:1" x14ac:dyDescent="0.25">
      <c r="A883" t="s">
        <v>87</v>
      </c>
    </row>
    <row r="884" spans="1:1" x14ac:dyDescent="0.25">
      <c r="A884" t="s">
        <v>131</v>
      </c>
    </row>
    <row r="886" spans="1:1" x14ac:dyDescent="0.25">
      <c r="A886" t="s">
        <v>90</v>
      </c>
    </row>
    <row r="888" spans="1:1" x14ac:dyDescent="0.25">
      <c r="A888" t="s">
        <v>94</v>
      </c>
    </row>
    <row r="890" spans="1:1" x14ac:dyDescent="0.25">
      <c r="A890" t="s">
        <v>97</v>
      </c>
    </row>
    <row r="892" spans="1:1" x14ac:dyDescent="0.25">
      <c r="A892" t="s">
        <v>100</v>
      </c>
    </row>
    <row r="894" spans="1:1" x14ac:dyDescent="0.25">
      <c r="A894" t="s">
        <v>103</v>
      </c>
    </row>
    <row r="896" spans="1:1" x14ac:dyDescent="0.25">
      <c r="A896" t="s">
        <v>106</v>
      </c>
    </row>
    <row r="897" spans="1:1" x14ac:dyDescent="0.25">
      <c r="A897" t="s">
        <v>563</v>
      </c>
    </row>
    <row r="898" spans="1:1" x14ac:dyDescent="0.25">
      <c r="A898" t="s">
        <v>564</v>
      </c>
    </row>
    <row r="899" spans="1:1" x14ac:dyDescent="0.25">
      <c r="A899" t="s">
        <v>115</v>
      </c>
    </row>
    <row r="900" spans="1:1" x14ac:dyDescent="0.25">
      <c r="A900" t="s">
        <v>223</v>
      </c>
    </row>
    <row r="901" spans="1:1" x14ac:dyDescent="0.25">
      <c r="A901" t="s">
        <v>119</v>
      </c>
    </row>
    <row r="903" spans="1:1" x14ac:dyDescent="0.25">
      <c r="A903" t="s">
        <v>159</v>
      </c>
    </row>
    <row r="905" spans="1:1" x14ac:dyDescent="0.25">
      <c r="A905" t="s">
        <v>124</v>
      </c>
    </row>
    <row r="907" spans="1:1" x14ac:dyDescent="0.25">
      <c r="A907" t="s">
        <v>126</v>
      </c>
    </row>
    <row r="909" spans="1:1" x14ac:dyDescent="0.25">
      <c r="A909" t="s">
        <v>127</v>
      </c>
    </row>
    <row r="911" spans="1:1" x14ac:dyDescent="0.25">
      <c r="A911" t="s">
        <v>760</v>
      </c>
    </row>
    <row r="912" spans="1:1" x14ac:dyDescent="0.25">
      <c r="A912" t="s">
        <v>83</v>
      </c>
    </row>
    <row r="913" spans="1:1" x14ac:dyDescent="0.25">
      <c r="A913" t="e">
        <f>- очень очень ПРЯМ очень быстрая легкая и средняя пехота (в т.ч. пикенеры) с мощным натиском и чарджем</f>
        <v>#NAME?</v>
      </c>
    </row>
    <row r="914" spans="1:1" x14ac:dyDescent="0.25">
      <c r="A914" t="e">
        <f>- Достаточно хорошей легкой конницы</f>
        <v>#NAME?</v>
      </c>
    </row>
    <row r="915" spans="1:1" x14ac:dyDescent="0.25">
      <c r="A915" t="e">
        <f>- тяжелой конницы исчезающе мало.</f>
        <v>#NAME?</v>
      </c>
    </row>
    <row r="916" spans="1:1" x14ac:dyDescent="0.25">
      <c r="A916" t="s">
        <v>436</v>
      </c>
    </row>
    <row r="917" spans="1:1" x14ac:dyDescent="0.25">
      <c r="A917" t="e">
        <f>- отличительная особенность - белый андреевский крест на груди и спине</f>
        <v>#NAME?</v>
      </c>
    </row>
    <row r="918" spans="1:1" x14ac:dyDescent="0.25">
      <c r="A918" t="e">
        <f>- Лоулендеры (равнинные) имели лучшую броню чем хайлендеры (горцы)</f>
        <v>#NAME?</v>
      </c>
    </row>
    <row r="919" spans="1:1" x14ac:dyDescent="0.25">
      <c r="A919" t="s">
        <v>437</v>
      </c>
    </row>
    <row r="920" spans="1:1" x14ac:dyDescent="0.25">
      <c r="A920" t="e">
        <f>- пикенеры (кроме знати и инструкторов) не лучшего качества</f>
        <v>#NAME?</v>
      </c>
    </row>
    <row r="921" spans="1:1" x14ac:dyDescent="0.25">
      <c r="A921" t="s">
        <v>438</v>
      </c>
    </row>
    <row r="922" spans="1:1" x14ac:dyDescent="0.25">
      <c r="A922" t="s">
        <v>87</v>
      </c>
    </row>
    <row r="923" spans="1:1" x14ac:dyDescent="0.25">
      <c r="A923" t="s">
        <v>131</v>
      </c>
    </row>
    <row r="924" spans="1:1" x14ac:dyDescent="0.25">
      <c r="A924" t="s">
        <v>439</v>
      </c>
    </row>
    <row r="925" spans="1:1" x14ac:dyDescent="0.25">
      <c r="A925" t="s">
        <v>90</v>
      </c>
    </row>
    <row r="926" spans="1:1" x14ac:dyDescent="0.25">
      <c r="A926" t="s">
        <v>565</v>
      </c>
    </row>
    <row r="927" spans="1:1" x14ac:dyDescent="0.25">
      <c r="A927" t="s">
        <v>440</v>
      </c>
    </row>
    <row r="928" spans="1:1" x14ac:dyDescent="0.25">
      <c r="A928" t="s">
        <v>566</v>
      </c>
    </row>
    <row r="929" spans="1:1" x14ac:dyDescent="0.25">
      <c r="A929" t="s">
        <v>567</v>
      </c>
    </row>
    <row r="930" spans="1:1" x14ac:dyDescent="0.25">
      <c r="A930" t="s">
        <v>94</v>
      </c>
    </row>
    <row r="931" spans="1:1" x14ac:dyDescent="0.25">
      <c r="A931" t="s">
        <v>441</v>
      </c>
    </row>
    <row r="932" spans="1:1" x14ac:dyDescent="0.25">
      <c r="A932" t="s">
        <v>442</v>
      </c>
    </row>
    <row r="933" spans="1:1" x14ac:dyDescent="0.25">
      <c r="A933" t="s">
        <v>97</v>
      </c>
    </row>
    <row r="934" spans="1:1" x14ac:dyDescent="0.25">
      <c r="A934" t="s">
        <v>443</v>
      </c>
    </row>
    <row r="935" spans="1:1" x14ac:dyDescent="0.25">
      <c r="A935" t="s">
        <v>568</v>
      </c>
    </row>
    <row r="936" spans="1:1" x14ac:dyDescent="0.25">
      <c r="A936" t="s">
        <v>569</v>
      </c>
    </row>
    <row r="937" spans="1:1" x14ac:dyDescent="0.25">
      <c r="A937" t="s">
        <v>100</v>
      </c>
    </row>
    <row r="938" spans="1:1" x14ac:dyDescent="0.25">
      <c r="A938" t="e">
        <f>----наемники</f>
        <v>#NAME?</v>
      </c>
    </row>
    <row r="939" spans="1:1" x14ac:dyDescent="0.25">
      <c r="A939" t="s">
        <v>103</v>
      </c>
    </row>
    <row r="940" spans="1:1" x14ac:dyDescent="0.25">
      <c r="A940" t="s">
        <v>761</v>
      </c>
    </row>
    <row r="941" spans="1:1" x14ac:dyDescent="0.25">
      <c r="A941" t="s">
        <v>762</v>
      </c>
    </row>
    <row r="942" spans="1:1" x14ac:dyDescent="0.25">
      <c r="A942" t="s">
        <v>106</v>
      </c>
    </row>
    <row r="943" spans="1:1" x14ac:dyDescent="0.25">
      <c r="A943" t="e">
        <f>-------нет</f>
        <v>#NAME?</v>
      </c>
    </row>
    <row r="944" spans="1:1" x14ac:dyDescent="0.25">
      <c r="A944" t="s">
        <v>115</v>
      </c>
    </row>
    <row r="945" spans="1:1" x14ac:dyDescent="0.25">
      <c r="A945" t="s">
        <v>763</v>
      </c>
    </row>
    <row r="946" spans="1:1" x14ac:dyDescent="0.25">
      <c r="A946" t="s">
        <v>764</v>
      </c>
    </row>
    <row r="947" spans="1:1" x14ac:dyDescent="0.25">
      <c r="A947" t="s">
        <v>765</v>
      </c>
    </row>
    <row r="948" spans="1:1" x14ac:dyDescent="0.25">
      <c r="A948" t="s">
        <v>119</v>
      </c>
    </row>
    <row r="949" spans="1:1" x14ac:dyDescent="0.25">
      <c r="A949" t="e">
        <f>--------нет</f>
        <v>#NAME?</v>
      </c>
    </row>
    <row r="950" spans="1:1" x14ac:dyDescent="0.25">
      <c r="A950" t="s">
        <v>159</v>
      </c>
    </row>
    <row r="951" spans="1:1" x14ac:dyDescent="0.25">
      <c r="A951" t="e">
        <f>--------нет</f>
        <v>#NAME?</v>
      </c>
    </row>
    <row r="952" spans="1:1" x14ac:dyDescent="0.25">
      <c r="A952" t="s">
        <v>124</v>
      </c>
    </row>
    <row r="953" spans="1:1" x14ac:dyDescent="0.25">
      <c r="A953" t="s">
        <v>766</v>
      </c>
    </row>
    <row r="954" spans="1:1" x14ac:dyDescent="0.25">
      <c r="A954" t="s">
        <v>767</v>
      </c>
    </row>
    <row r="955" spans="1:1" x14ac:dyDescent="0.25">
      <c r="A955" t="s">
        <v>126</v>
      </c>
    </row>
    <row r="956" spans="1:1" x14ac:dyDescent="0.25">
      <c r="A956" t="e">
        <f>-----наемники</f>
        <v>#NAME?</v>
      </c>
    </row>
    <row r="957" spans="1:1" x14ac:dyDescent="0.25">
      <c r="A957" t="s">
        <v>127</v>
      </c>
    </row>
    <row r="959" spans="1:1" x14ac:dyDescent="0.25">
      <c r="A959" t="s">
        <v>768</v>
      </c>
    </row>
    <row r="960" spans="1:1" x14ac:dyDescent="0.25">
      <c r="A960" t="s">
        <v>83</v>
      </c>
    </row>
    <row r="961" spans="1:1" x14ac:dyDescent="0.25">
      <c r="A961" t="e">
        <f>- самые сильные ландскнехты</f>
        <v>#NAME?</v>
      </c>
    </row>
    <row r="962" spans="1:1" x14ac:dyDescent="0.25">
      <c r="A962" t="s">
        <v>87</v>
      </c>
    </row>
    <row r="963" spans="1:1" x14ac:dyDescent="0.25">
      <c r="A963" t="s">
        <v>131</v>
      </c>
    </row>
    <row r="965" spans="1:1" x14ac:dyDescent="0.25">
      <c r="A965" t="s">
        <v>90</v>
      </c>
    </row>
    <row r="967" spans="1:1" x14ac:dyDescent="0.25">
      <c r="A967" t="s">
        <v>94</v>
      </c>
    </row>
    <row r="969" spans="1:1" x14ac:dyDescent="0.25">
      <c r="A969" t="s">
        <v>97</v>
      </c>
    </row>
    <row r="971" spans="1:1" x14ac:dyDescent="0.25">
      <c r="A971" t="s">
        <v>100</v>
      </c>
    </row>
    <row r="973" spans="1:1" x14ac:dyDescent="0.25">
      <c r="A973" t="s">
        <v>103</v>
      </c>
    </row>
    <row r="975" spans="1:1" x14ac:dyDescent="0.25">
      <c r="A975" t="s">
        <v>106</v>
      </c>
    </row>
    <row r="977" spans="1:1" x14ac:dyDescent="0.25">
      <c r="A977" t="s">
        <v>115</v>
      </c>
    </row>
    <row r="978" spans="1:1" x14ac:dyDescent="0.25">
      <c r="A978" t="s">
        <v>223</v>
      </c>
    </row>
    <row r="979" spans="1:1" x14ac:dyDescent="0.25">
      <c r="A979" t="s">
        <v>119</v>
      </c>
    </row>
    <row r="981" spans="1:1" x14ac:dyDescent="0.25">
      <c r="A981" t="s">
        <v>159</v>
      </c>
    </row>
    <row r="983" spans="1:1" x14ac:dyDescent="0.25">
      <c r="A983" t="s">
        <v>124</v>
      </c>
    </row>
    <row r="985" spans="1:1" x14ac:dyDescent="0.25">
      <c r="A985" t="s">
        <v>126</v>
      </c>
    </row>
    <row r="987" spans="1:1" x14ac:dyDescent="0.25">
      <c r="A987" t="s">
        <v>127</v>
      </c>
    </row>
    <row r="989" spans="1:1" x14ac:dyDescent="0.25">
      <c r="A989" t="s">
        <v>769</v>
      </c>
    </row>
    <row r="990" spans="1:1" x14ac:dyDescent="0.25">
      <c r="A990" t="s">
        <v>83</v>
      </c>
    </row>
    <row r="992" spans="1:1" x14ac:dyDescent="0.25">
      <c r="A992" t="s">
        <v>87</v>
      </c>
    </row>
    <row r="993" spans="1:1" x14ac:dyDescent="0.25">
      <c r="A993" t="s">
        <v>131</v>
      </c>
    </row>
    <row r="995" spans="1:1" x14ac:dyDescent="0.25">
      <c r="A995" t="s">
        <v>90</v>
      </c>
    </row>
    <row r="997" spans="1:1" x14ac:dyDescent="0.25">
      <c r="A997" t="s">
        <v>94</v>
      </c>
    </row>
    <row r="999" spans="1:1" x14ac:dyDescent="0.25">
      <c r="A999" t="s">
        <v>97</v>
      </c>
    </row>
    <row r="1001" spans="1:1" x14ac:dyDescent="0.25">
      <c r="A1001" t="s">
        <v>100</v>
      </c>
    </row>
    <row r="1003" spans="1:1" x14ac:dyDescent="0.25">
      <c r="A1003" t="s">
        <v>103</v>
      </c>
    </row>
    <row r="1005" spans="1:1" x14ac:dyDescent="0.25">
      <c r="A1005" t="s">
        <v>106</v>
      </c>
    </row>
    <row r="1007" spans="1:1" x14ac:dyDescent="0.25">
      <c r="A1007" t="s">
        <v>115</v>
      </c>
    </row>
    <row r="1008" spans="1:1" x14ac:dyDescent="0.25">
      <c r="A1008" t="s">
        <v>223</v>
      </c>
    </row>
    <row r="1009" spans="1:1" x14ac:dyDescent="0.25">
      <c r="A1009" t="s">
        <v>119</v>
      </c>
    </row>
    <row r="1011" spans="1:1" x14ac:dyDescent="0.25">
      <c r="A1011" t="s">
        <v>159</v>
      </c>
    </row>
    <row r="1013" spans="1:1" x14ac:dyDescent="0.25">
      <c r="A1013" t="s">
        <v>124</v>
      </c>
    </row>
    <row r="1015" spans="1:1" x14ac:dyDescent="0.25">
      <c r="A1015" t="s">
        <v>126</v>
      </c>
    </row>
    <row r="1017" spans="1:1" x14ac:dyDescent="0.25">
      <c r="A1017" t="s">
        <v>127</v>
      </c>
    </row>
    <row r="1019" spans="1:1" x14ac:dyDescent="0.25">
      <c r="A1019" t="s">
        <v>770</v>
      </c>
    </row>
    <row r="1020" spans="1:1" x14ac:dyDescent="0.25">
      <c r="A1020" t="s">
        <v>83</v>
      </c>
    </row>
    <row r="1022" spans="1:1" x14ac:dyDescent="0.25">
      <c r="A1022" t="s">
        <v>87</v>
      </c>
    </row>
    <row r="1023" spans="1:1" x14ac:dyDescent="0.25">
      <c r="A1023" t="s">
        <v>131</v>
      </c>
    </row>
    <row r="1025" spans="1:1" x14ac:dyDescent="0.25">
      <c r="A1025" t="s">
        <v>90</v>
      </c>
    </row>
    <row r="1027" spans="1:1" x14ac:dyDescent="0.25">
      <c r="A1027" t="s">
        <v>94</v>
      </c>
    </row>
    <row r="1029" spans="1:1" x14ac:dyDescent="0.25">
      <c r="A1029" t="s">
        <v>97</v>
      </c>
    </row>
    <row r="1031" spans="1:1" x14ac:dyDescent="0.25">
      <c r="A1031" t="s">
        <v>100</v>
      </c>
    </row>
    <row r="1033" spans="1:1" x14ac:dyDescent="0.25">
      <c r="A1033" t="s">
        <v>103</v>
      </c>
    </row>
    <row r="1035" spans="1:1" x14ac:dyDescent="0.25">
      <c r="A1035" t="s">
        <v>106</v>
      </c>
    </row>
    <row r="1037" spans="1:1" x14ac:dyDescent="0.25">
      <c r="A1037" t="s">
        <v>115</v>
      </c>
    </row>
    <row r="1038" spans="1:1" x14ac:dyDescent="0.25">
      <c r="A1038" t="s">
        <v>223</v>
      </c>
    </row>
    <row r="1039" spans="1:1" x14ac:dyDescent="0.25">
      <c r="A1039" t="s">
        <v>119</v>
      </c>
    </row>
    <row r="1041" spans="1:1" x14ac:dyDescent="0.25">
      <c r="A1041" t="s">
        <v>159</v>
      </c>
    </row>
    <row r="1043" spans="1:1" x14ac:dyDescent="0.25">
      <c r="A1043" t="s">
        <v>124</v>
      </c>
    </row>
    <row r="1045" spans="1:1" x14ac:dyDescent="0.25">
      <c r="A1045" t="s">
        <v>126</v>
      </c>
    </row>
    <row r="1047" spans="1:1" x14ac:dyDescent="0.25">
      <c r="A1047" t="s">
        <v>127</v>
      </c>
    </row>
    <row r="1049" spans="1:1" x14ac:dyDescent="0.25">
      <c r="A1049" t="s">
        <v>771</v>
      </c>
    </row>
    <row r="1050" spans="1:1" x14ac:dyDescent="0.25">
      <c r="A1050" t="s">
        <v>83</v>
      </c>
    </row>
    <row r="1051" spans="1:1" x14ac:dyDescent="0.25">
      <c r="A1051" t="e">
        <f>- средняя по всем параметрам. фракция - хорошист.</f>
        <v>#NAME?</v>
      </c>
    </row>
    <row r="1052" spans="1:1" x14ac:dyDescent="0.25">
      <c r="A1052" t="s">
        <v>457</v>
      </c>
    </row>
    <row r="1053" spans="1:1" x14ac:dyDescent="0.25">
      <c r="A1053" t="e">
        <f>- Упор на наемников-ландскнехтов и Бюргеров-ополчение.</f>
        <v>#NAME?</v>
      </c>
    </row>
    <row r="1054" spans="1:1" x14ac:dyDescent="0.25">
      <c r="A1054" t="s">
        <v>458</v>
      </c>
    </row>
    <row r="1055" spans="1:1" x14ac:dyDescent="0.25">
      <c r="A1055" t="s">
        <v>459</v>
      </c>
    </row>
    <row r="1056" spans="1:1" x14ac:dyDescent="0.25">
      <c r="A1056" t="s">
        <v>460</v>
      </c>
    </row>
    <row r="1057" spans="1:1" x14ac:dyDescent="0.25">
      <c r="A1057" t="s">
        <v>461</v>
      </c>
    </row>
    <row r="1058" spans="1:1" x14ac:dyDescent="0.25">
      <c r="A1058" t="s">
        <v>462</v>
      </c>
    </row>
    <row r="1059" spans="1:1" x14ac:dyDescent="0.25">
      <c r="A1059" t="s">
        <v>87</v>
      </c>
    </row>
    <row r="1060" spans="1:1" x14ac:dyDescent="0.25">
      <c r="A1060" t="s">
        <v>131</v>
      </c>
    </row>
    <row r="1061" spans="1:1" x14ac:dyDescent="0.25">
      <c r="A1061" t="s">
        <v>463</v>
      </c>
    </row>
    <row r="1062" spans="1:1" x14ac:dyDescent="0.25">
      <c r="A1062" t="s">
        <v>90</v>
      </c>
    </row>
    <row r="1063" spans="1:1" x14ac:dyDescent="0.25">
      <c r="A1063" t="e">
        <f>------наемники</f>
        <v>#NAME?</v>
      </c>
    </row>
    <row r="1064" spans="1:1" x14ac:dyDescent="0.25">
      <c r="A1064" t="s">
        <v>94</v>
      </c>
    </row>
    <row r="1065" spans="1:1" x14ac:dyDescent="0.25">
      <c r="A1065" t="s">
        <v>464</v>
      </c>
    </row>
    <row r="1066" spans="1:1" x14ac:dyDescent="0.25">
      <c r="A1066" t="s">
        <v>465</v>
      </c>
    </row>
    <row r="1067" spans="1:1" x14ac:dyDescent="0.25">
      <c r="A1067" t="s">
        <v>97</v>
      </c>
    </row>
    <row r="1068" spans="1:1" x14ac:dyDescent="0.25">
      <c r="A1068" t="s">
        <v>772</v>
      </c>
    </row>
    <row r="1069" spans="1:1" x14ac:dyDescent="0.25">
      <c r="A1069" t="s">
        <v>773</v>
      </c>
    </row>
    <row r="1070" spans="1:1" x14ac:dyDescent="0.25">
      <c r="A1070" t="s">
        <v>468</v>
      </c>
    </row>
    <row r="1071" spans="1:1" x14ac:dyDescent="0.25">
      <c r="A1071" t="s">
        <v>100</v>
      </c>
    </row>
    <row r="1072" spans="1:1" x14ac:dyDescent="0.25">
      <c r="A1072" t="s">
        <v>469</v>
      </c>
    </row>
    <row r="1073" spans="1:1" x14ac:dyDescent="0.25">
      <c r="A1073" t="s">
        <v>103</v>
      </c>
    </row>
    <row r="1074" spans="1:1" x14ac:dyDescent="0.25">
      <c r="A1074" t="e">
        <f>-----наемники</f>
        <v>#NAME?</v>
      </c>
    </row>
    <row r="1075" spans="1:1" x14ac:dyDescent="0.25">
      <c r="A1075" t="s">
        <v>106</v>
      </c>
    </row>
    <row r="1076" spans="1:1" x14ac:dyDescent="0.25">
      <c r="A1076" t="e">
        <f>-----наемники</f>
        <v>#NAME?</v>
      </c>
    </row>
    <row r="1077" spans="1:1" x14ac:dyDescent="0.25">
      <c r="A1077" t="s">
        <v>115</v>
      </c>
    </row>
    <row r="1078" spans="1:1" x14ac:dyDescent="0.25">
      <c r="A1078" t="s">
        <v>774</v>
      </c>
    </row>
    <row r="1079" spans="1:1" x14ac:dyDescent="0.25">
      <c r="A1079" t="s">
        <v>119</v>
      </c>
    </row>
    <row r="1080" spans="1:1" x14ac:dyDescent="0.25">
      <c r="A1080" t="s">
        <v>775</v>
      </c>
    </row>
    <row r="1081" spans="1:1" x14ac:dyDescent="0.25">
      <c r="A1081" t="s">
        <v>159</v>
      </c>
    </row>
    <row r="1082" spans="1:1" x14ac:dyDescent="0.25">
      <c r="A1082" t="s">
        <v>776</v>
      </c>
    </row>
    <row r="1083" spans="1:1" x14ac:dyDescent="0.25">
      <c r="A1083" t="s">
        <v>777</v>
      </c>
    </row>
    <row r="1084" spans="1:1" x14ac:dyDescent="0.25">
      <c r="A1084" t="s">
        <v>124</v>
      </c>
    </row>
    <row r="1085" spans="1:1" x14ac:dyDescent="0.25">
      <c r="A1085" t="s">
        <v>778</v>
      </c>
    </row>
    <row r="1086" spans="1:1" x14ac:dyDescent="0.25">
      <c r="A1086" t="s">
        <v>779</v>
      </c>
    </row>
    <row r="1087" spans="1:1" x14ac:dyDescent="0.25">
      <c r="A1087" t="s">
        <v>780</v>
      </c>
    </row>
    <row r="1088" spans="1:1" x14ac:dyDescent="0.25">
      <c r="A1088" t="s">
        <v>126</v>
      </c>
    </row>
    <row r="1089" spans="1:1" x14ac:dyDescent="0.25">
      <c r="A1089" t="e">
        <f>------наемники</f>
        <v>#NAME?</v>
      </c>
    </row>
    <row r="1090" spans="1:1" x14ac:dyDescent="0.25">
      <c r="A1090" t="s">
        <v>127</v>
      </c>
    </row>
    <row r="1092" spans="1:1" x14ac:dyDescent="0.25">
      <c r="A1092" t="s">
        <v>781</v>
      </c>
    </row>
    <row r="1093" spans="1:1" x14ac:dyDescent="0.25">
      <c r="A1093" t="s">
        <v>83</v>
      </c>
    </row>
    <row r="1095" spans="1:1" x14ac:dyDescent="0.25">
      <c r="A1095" t="s">
        <v>87</v>
      </c>
    </row>
    <row r="1096" spans="1:1" x14ac:dyDescent="0.25">
      <c r="A1096" t="s">
        <v>131</v>
      </c>
    </row>
    <row r="1098" spans="1:1" x14ac:dyDescent="0.25">
      <c r="A1098" t="s">
        <v>90</v>
      </c>
    </row>
    <row r="1100" spans="1:1" x14ac:dyDescent="0.25">
      <c r="A1100" t="s">
        <v>94</v>
      </c>
    </row>
    <row r="1102" spans="1:1" x14ac:dyDescent="0.25">
      <c r="A1102" t="s">
        <v>97</v>
      </c>
    </row>
    <row r="1104" spans="1:1" x14ac:dyDescent="0.25">
      <c r="A1104" t="s">
        <v>100</v>
      </c>
    </row>
    <row r="1106" spans="1:1" x14ac:dyDescent="0.25">
      <c r="A1106" t="s">
        <v>103</v>
      </c>
    </row>
    <row r="1108" spans="1:1" x14ac:dyDescent="0.25">
      <c r="A1108" t="s">
        <v>106</v>
      </c>
    </row>
    <row r="1110" spans="1:1" x14ac:dyDescent="0.25">
      <c r="A1110" t="s">
        <v>115</v>
      </c>
    </row>
    <row r="1111" spans="1:1" x14ac:dyDescent="0.25">
      <c r="A1111" t="s">
        <v>223</v>
      </c>
    </row>
    <row r="1112" spans="1:1" x14ac:dyDescent="0.25">
      <c r="A1112" t="s">
        <v>119</v>
      </c>
    </row>
    <row r="1114" spans="1:1" x14ac:dyDescent="0.25">
      <c r="A1114" t="s">
        <v>159</v>
      </c>
    </row>
    <row r="1116" spans="1:1" x14ac:dyDescent="0.25">
      <c r="A1116" t="s">
        <v>124</v>
      </c>
    </row>
    <row r="1118" spans="1:1" x14ac:dyDescent="0.25">
      <c r="A1118" t="s">
        <v>126</v>
      </c>
    </row>
    <row r="1120" spans="1:1" x14ac:dyDescent="0.25">
      <c r="A1120" t="s">
        <v>127</v>
      </c>
    </row>
    <row r="1122" spans="1:1" x14ac:dyDescent="0.25">
      <c r="A1122" t="s">
        <v>782</v>
      </c>
    </row>
    <row r="1123" spans="1:1" x14ac:dyDescent="0.25">
      <c r="A1123" t="s">
        <v>83</v>
      </c>
    </row>
    <row r="1125" spans="1:1" x14ac:dyDescent="0.25">
      <c r="A1125" t="s">
        <v>87</v>
      </c>
    </row>
    <row r="1126" spans="1:1" x14ac:dyDescent="0.25">
      <c r="A1126" t="s">
        <v>131</v>
      </c>
    </row>
    <row r="1128" spans="1:1" x14ac:dyDescent="0.25">
      <c r="A1128" t="s">
        <v>90</v>
      </c>
    </row>
    <row r="1130" spans="1:1" x14ac:dyDescent="0.25">
      <c r="A1130" t="s">
        <v>94</v>
      </c>
    </row>
    <row r="1132" spans="1:1" x14ac:dyDescent="0.25">
      <c r="A1132" t="s">
        <v>97</v>
      </c>
    </row>
    <row r="1134" spans="1:1" x14ac:dyDescent="0.25">
      <c r="A1134" t="s">
        <v>100</v>
      </c>
    </row>
    <row r="1136" spans="1:1" x14ac:dyDescent="0.25">
      <c r="A1136" t="s">
        <v>103</v>
      </c>
    </row>
    <row r="1138" spans="1:1" x14ac:dyDescent="0.25">
      <c r="A1138" t="s">
        <v>106</v>
      </c>
    </row>
    <row r="1140" spans="1:1" x14ac:dyDescent="0.25">
      <c r="A1140" t="s">
        <v>115</v>
      </c>
    </row>
    <row r="1141" spans="1:1" x14ac:dyDescent="0.25">
      <c r="A1141" t="s">
        <v>223</v>
      </c>
    </row>
    <row r="1142" spans="1:1" x14ac:dyDescent="0.25">
      <c r="A1142" t="s">
        <v>119</v>
      </c>
    </row>
    <row r="1144" spans="1:1" x14ac:dyDescent="0.25">
      <c r="A1144" t="s">
        <v>159</v>
      </c>
    </row>
    <row r="1146" spans="1:1" x14ac:dyDescent="0.25">
      <c r="A1146" t="s">
        <v>124</v>
      </c>
    </row>
    <row r="1148" spans="1:1" x14ac:dyDescent="0.25">
      <c r="A1148" t="s">
        <v>126</v>
      </c>
    </row>
    <row r="1150" spans="1:1" x14ac:dyDescent="0.25">
      <c r="A1150" t="s">
        <v>127</v>
      </c>
    </row>
    <row r="1157" spans="1:1" x14ac:dyDescent="0.25">
      <c r="A1157" t="s">
        <v>69</v>
      </c>
    </row>
    <row r="1158" spans="1:1" x14ac:dyDescent="0.25">
      <c r="A1158" t="s">
        <v>864</v>
      </c>
    </row>
    <row r="1159" spans="1:1" x14ac:dyDescent="0.25">
      <c r="A1159" t="s">
        <v>83</v>
      </c>
    </row>
    <row r="1160" spans="1:1" x14ac:dyDescent="0.25">
      <c r="A1160" t="s">
        <v>480</v>
      </c>
    </row>
    <row r="1161" spans="1:1" x14ac:dyDescent="0.25">
      <c r="A1161" t="s">
        <v>783</v>
      </c>
    </row>
    <row r="1162" spans="1:1" x14ac:dyDescent="0.25">
      <c r="A1162" t="s">
        <v>784</v>
      </c>
    </row>
    <row r="1163" spans="1:1" x14ac:dyDescent="0.25">
      <c r="A1163" t="s">
        <v>785</v>
      </c>
    </row>
    <row r="1164" spans="1:1" x14ac:dyDescent="0.25">
      <c r="A1164" t="s">
        <v>786</v>
      </c>
    </row>
    <row r="1165" spans="1:1" x14ac:dyDescent="0.25">
      <c r="A1165" t="s">
        <v>787</v>
      </c>
    </row>
    <row r="1166" spans="1:1" x14ac:dyDescent="0.25">
      <c r="A1166" t="s">
        <v>788</v>
      </c>
    </row>
    <row r="1167" spans="1:1" x14ac:dyDescent="0.25">
      <c r="A1167" t="s">
        <v>789</v>
      </c>
    </row>
    <row r="1168" spans="1:1" x14ac:dyDescent="0.25">
      <c r="A1168" t="s">
        <v>790</v>
      </c>
    </row>
    <row r="1169" spans="1:1" x14ac:dyDescent="0.25">
      <c r="A1169" t="s">
        <v>791</v>
      </c>
    </row>
    <row r="1170" spans="1:1" x14ac:dyDescent="0.25">
      <c r="A1170" t="s">
        <v>852</v>
      </c>
    </row>
    <row r="1171" spans="1:1" x14ac:dyDescent="0.25">
      <c r="A1171" t="s">
        <v>865</v>
      </c>
    </row>
    <row r="1172" spans="1:1" x14ac:dyDescent="0.25">
      <c r="A1172" t="s">
        <v>866</v>
      </c>
    </row>
    <row r="1173" spans="1:1" x14ac:dyDescent="0.25">
      <c r="A1173" t="s">
        <v>867</v>
      </c>
    </row>
    <row r="1174" spans="1:1" x14ac:dyDescent="0.25">
      <c r="A1174" t="s">
        <v>868</v>
      </c>
    </row>
    <row r="1175" spans="1:1" x14ac:dyDescent="0.25">
      <c r="A1175" t="s">
        <v>869</v>
      </c>
    </row>
    <row r="1176" spans="1:1" x14ac:dyDescent="0.25">
      <c r="A1176" t="s">
        <v>870</v>
      </c>
    </row>
    <row r="1177" spans="1:1" x14ac:dyDescent="0.25">
      <c r="A1177" t="s">
        <v>871</v>
      </c>
    </row>
    <row r="1178" spans="1:1" x14ac:dyDescent="0.25">
      <c r="A1178" t="s">
        <v>872</v>
      </c>
    </row>
    <row r="1179" spans="1:1" x14ac:dyDescent="0.25">
      <c r="A1179" t="s">
        <v>873</v>
      </c>
    </row>
    <row r="1180" spans="1:1" x14ac:dyDescent="0.25">
      <c r="A1180" t="s">
        <v>874</v>
      </c>
    </row>
    <row r="1181" spans="1:1" x14ac:dyDescent="0.25">
      <c r="A1181" t="s">
        <v>875</v>
      </c>
    </row>
    <row r="1182" spans="1:1" x14ac:dyDescent="0.25">
      <c r="A1182" t="s">
        <v>876</v>
      </c>
    </row>
    <row r="1183" spans="1:1" x14ac:dyDescent="0.25">
      <c r="A1183" t="s">
        <v>877</v>
      </c>
    </row>
    <row r="1184" spans="1:1" x14ac:dyDescent="0.25">
      <c r="A1184" t="s">
        <v>878</v>
      </c>
    </row>
    <row r="1185" spans="1:1" x14ac:dyDescent="0.25">
      <c r="A1185" t="s">
        <v>879</v>
      </c>
    </row>
    <row r="1186" spans="1:1" x14ac:dyDescent="0.25">
      <c r="A1186" t="s">
        <v>880</v>
      </c>
    </row>
    <row r="1187" spans="1:1" x14ac:dyDescent="0.25">
      <c r="A1187" t="s">
        <v>881</v>
      </c>
    </row>
    <row r="1188" spans="1:1" x14ac:dyDescent="0.25">
      <c r="A1188" t="s">
        <v>882</v>
      </c>
    </row>
    <row r="1189" spans="1:1" x14ac:dyDescent="0.25">
      <c r="A1189" t="s">
        <v>883</v>
      </c>
    </row>
    <row r="1190" spans="1:1" x14ac:dyDescent="0.25">
      <c r="A1190" t="s">
        <v>884</v>
      </c>
    </row>
    <row r="1191" spans="1:1" x14ac:dyDescent="0.25">
      <c r="A1191" t="s">
        <v>885</v>
      </c>
    </row>
    <row r="1192" spans="1:1" x14ac:dyDescent="0.25">
      <c r="A1192" t="s">
        <v>671</v>
      </c>
    </row>
    <row r="1193" spans="1:1" x14ac:dyDescent="0.25">
      <c r="A1193" t="s">
        <v>886</v>
      </c>
    </row>
    <row r="1194" spans="1:1" x14ac:dyDescent="0.25">
      <c r="A1194" t="s">
        <v>887</v>
      </c>
    </row>
    <row r="1195" spans="1:1" x14ac:dyDescent="0.25">
      <c r="A1195" t="s">
        <v>888</v>
      </c>
    </row>
    <row r="1196" spans="1:1" x14ac:dyDescent="0.25">
      <c r="A1196" t="s">
        <v>889</v>
      </c>
    </row>
    <row r="1197" spans="1:1" x14ac:dyDescent="0.25">
      <c r="A1197" t="s">
        <v>890</v>
      </c>
    </row>
    <row r="1198" spans="1:1" x14ac:dyDescent="0.25">
      <c r="A1198" t="s">
        <v>891</v>
      </c>
    </row>
    <row r="1199" spans="1:1" x14ac:dyDescent="0.25">
      <c r="A1199" t="s">
        <v>892</v>
      </c>
    </row>
    <row r="1200" spans="1:1" x14ac:dyDescent="0.25">
      <c r="A1200" t="s">
        <v>893</v>
      </c>
    </row>
    <row r="1201" spans="1:1" x14ac:dyDescent="0.25">
      <c r="A1201" t="s">
        <v>894</v>
      </c>
    </row>
    <row r="1202" spans="1:1" x14ac:dyDescent="0.25">
      <c r="A1202" t="s">
        <v>895</v>
      </c>
    </row>
    <row r="1203" spans="1:1" x14ac:dyDescent="0.25">
      <c r="A1203" t="s">
        <v>896</v>
      </c>
    </row>
    <row r="1204" spans="1:1" x14ac:dyDescent="0.25">
      <c r="A1204" t="s">
        <v>897</v>
      </c>
    </row>
    <row r="1205" spans="1:1" x14ac:dyDescent="0.25">
      <c r="A1205" t="s">
        <v>898</v>
      </c>
    </row>
    <row r="1206" spans="1:1" x14ac:dyDescent="0.25">
      <c r="A1206" t="s">
        <v>899</v>
      </c>
    </row>
    <row r="1207" spans="1:1" x14ac:dyDescent="0.25">
      <c r="A1207" t="s">
        <v>900</v>
      </c>
    </row>
    <row r="1208" spans="1:1" x14ac:dyDescent="0.25">
      <c r="A1208" t="s">
        <v>901</v>
      </c>
    </row>
    <row r="1209" spans="1:1" x14ac:dyDescent="0.25">
      <c r="A1209" t="s">
        <v>257</v>
      </c>
    </row>
    <row r="1210" spans="1:1" x14ac:dyDescent="0.25">
      <c r="A1210" t="s">
        <v>902</v>
      </c>
    </row>
    <row r="1211" spans="1:1" x14ac:dyDescent="0.25">
      <c r="A1211" t="s">
        <v>903</v>
      </c>
    </row>
    <row r="1212" spans="1:1" x14ac:dyDescent="0.25">
      <c r="A1212" t="s">
        <v>904</v>
      </c>
    </row>
    <row r="1213" spans="1:1" x14ac:dyDescent="0.25">
      <c r="A1213" t="s">
        <v>258</v>
      </c>
    </row>
    <row r="1214" spans="1:1" x14ac:dyDescent="0.25">
      <c r="A1214" t="s">
        <v>905</v>
      </c>
    </row>
    <row r="1215" spans="1:1" x14ac:dyDescent="0.25">
      <c r="A1215" t="s">
        <v>906</v>
      </c>
    </row>
    <row r="1216" spans="1:1" x14ac:dyDescent="0.25">
      <c r="A1216" t="s">
        <v>907</v>
      </c>
    </row>
    <row r="1217" spans="1:1" x14ac:dyDescent="0.25">
      <c r="A1217" t="s">
        <v>908</v>
      </c>
    </row>
    <row r="1218" spans="1:1" x14ac:dyDescent="0.25">
      <c r="A1218" t="s">
        <v>909</v>
      </c>
    </row>
    <row r="1219" spans="1:1" x14ac:dyDescent="0.25">
      <c r="A1219" t="s">
        <v>910</v>
      </c>
    </row>
    <row r="1220" spans="1:1" x14ac:dyDescent="0.25">
      <c r="A1220" t="s">
        <v>383</v>
      </c>
    </row>
    <row r="1221" spans="1:1" x14ac:dyDescent="0.25">
      <c r="A1221" t="s">
        <v>911</v>
      </c>
    </row>
    <row r="1222" spans="1:1" x14ac:dyDescent="0.25">
      <c r="A1222" t="s">
        <v>912</v>
      </c>
    </row>
    <row r="1223" spans="1:1" x14ac:dyDescent="0.25">
      <c r="A1223" t="s">
        <v>913</v>
      </c>
    </row>
    <row r="1224" spans="1:1" x14ac:dyDescent="0.25">
      <c r="A1224" t="s">
        <v>914</v>
      </c>
    </row>
    <row r="1225" spans="1:1" x14ac:dyDescent="0.25">
      <c r="A1225" t="s">
        <v>915</v>
      </c>
    </row>
    <row r="1226" spans="1:1" x14ac:dyDescent="0.25">
      <c r="A1226" t="s">
        <v>916</v>
      </c>
    </row>
    <row r="1227" spans="1:1" x14ac:dyDescent="0.25">
      <c r="A1227" t="s">
        <v>917</v>
      </c>
    </row>
    <row r="1228" spans="1:1" x14ac:dyDescent="0.25">
      <c r="A1228" t="s">
        <v>918</v>
      </c>
    </row>
    <row r="1229" spans="1:1" x14ac:dyDescent="0.25">
      <c r="A1229" t="s">
        <v>919</v>
      </c>
    </row>
    <row r="1230" spans="1:1" x14ac:dyDescent="0.25">
      <c r="A1230" t="s">
        <v>920</v>
      </c>
    </row>
    <row r="1231" spans="1:1" x14ac:dyDescent="0.25">
      <c r="A1231" t="s">
        <v>921</v>
      </c>
    </row>
    <row r="1232" spans="1:1" x14ac:dyDescent="0.25">
      <c r="A1232" t="s">
        <v>922</v>
      </c>
    </row>
    <row r="1233" spans="1:1" x14ac:dyDescent="0.25">
      <c r="A1233" t="s">
        <v>923</v>
      </c>
    </row>
    <row r="1234" spans="1:1" x14ac:dyDescent="0.25">
      <c r="A1234" t="s">
        <v>924</v>
      </c>
    </row>
    <row r="1235" spans="1:1" x14ac:dyDescent="0.25">
      <c r="A1235" t="s">
        <v>925</v>
      </c>
    </row>
    <row r="1236" spans="1:1" x14ac:dyDescent="0.25">
      <c r="A1236" t="s">
        <v>926</v>
      </c>
    </row>
    <row r="1237" spans="1:1" x14ac:dyDescent="0.25">
      <c r="A1237" t="s">
        <v>927</v>
      </c>
    </row>
    <row r="1238" spans="1:1" x14ac:dyDescent="0.25">
      <c r="A1238" t="s">
        <v>928</v>
      </c>
    </row>
    <row r="1239" spans="1:1" x14ac:dyDescent="0.25">
      <c r="A1239" t="s">
        <v>929</v>
      </c>
    </row>
    <row r="1240" spans="1:1" x14ac:dyDescent="0.25">
      <c r="A1240" t="s">
        <v>930</v>
      </c>
    </row>
    <row r="1241" spans="1:1" x14ac:dyDescent="0.25">
      <c r="A1241" t="s">
        <v>127</v>
      </c>
    </row>
    <row r="1245" spans="1:1" x14ac:dyDescent="0.25">
      <c r="A1245" t="s">
        <v>284</v>
      </c>
    </row>
    <row r="1246" spans="1:1" x14ac:dyDescent="0.25">
      <c r="A1246" t="s">
        <v>83</v>
      </c>
    </row>
    <row r="1247" spans="1:1" x14ac:dyDescent="0.25">
      <c r="A1247" t="s">
        <v>285</v>
      </c>
    </row>
    <row r="1248" spans="1:1" x14ac:dyDescent="0.25">
      <c r="A1248" t="s">
        <v>286</v>
      </c>
    </row>
    <row r="1249" spans="1:1" x14ac:dyDescent="0.25">
      <c r="A1249" t="s">
        <v>287</v>
      </c>
    </row>
    <row r="1250" spans="1:1" x14ac:dyDescent="0.25">
      <c r="A1250" t="s">
        <v>288</v>
      </c>
    </row>
    <row r="1251" spans="1:1" x14ac:dyDescent="0.25">
      <c r="A1251" t="s">
        <v>584</v>
      </c>
    </row>
    <row r="1252" spans="1:1" x14ac:dyDescent="0.25">
      <c r="A1252" t="s">
        <v>453</v>
      </c>
    </row>
    <row r="1253" spans="1:1" x14ac:dyDescent="0.25">
      <c r="A1253" t="s">
        <v>454</v>
      </c>
    </row>
    <row r="1254" spans="1:1" x14ac:dyDescent="0.25">
      <c r="A1254" t="s">
        <v>455</v>
      </c>
    </row>
    <row r="1257" spans="1:1" x14ac:dyDescent="0.25">
      <c r="A1257" t="s">
        <v>127</v>
      </c>
    </row>
    <row r="1260" spans="1:1" x14ac:dyDescent="0.25">
      <c r="A1260" t="s">
        <v>585</v>
      </c>
    </row>
    <row r="1261" spans="1:1" x14ac:dyDescent="0.25">
      <c r="A1261" t="s">
        <v>586</v>
      </c>
    </row>
    <row r="1262" spans="1:1" x14ac:dyDescent="0.25">
      <c r="A1262" t="s">
        <v>587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topLeftCell="A10" workbookViewId="0">
      <selection activeCell="B7" sqref="B7:B36"/>
    </sheetView>
  </sheetViews>
  <sheetFormatPr defaultRowHeight="15" x14ac:dyDescent="0.25"/>
  <cols>
    <col min="1" max="1" width="3" bestFit="1" customWidth="1"/>
    <col min="2" max="2" width="12" customWidth="1"/>
    <col min="3" max="3" width="10.85546875" customWidth="1"/>
    <col min="4" max="4" width="6" bestFit="1" customWidth="1"/>
    <col min="5" max="5" width="6" customWidth="1"/>
    <col min="6" max="6" width="4.85546875" customWidth="1"/>
    <col min="8" max="8" width="16.85546875" customWidth="1"/>
    <col min="10" max="10" width="7.42578125" bestFit="1" customWidth="1"/>
    <col min="11" max="11" width="6" bestFit="1" customWidth="1"/>
    <col min="12" max="12" width="5" customWidth="1"/>
    <col min="13" max="13" width="1.5703125" style="5" customWidth="1"/>
    <col min="14" max="14" width="3" bestFit="1" customWidth="1"/>
    <col min="16" max="16" width="14.5703125" customWidth="1"/>
    <col min="17" max="17" width="6" bestFit="1" customWidth="1"/>
    <col min="18" max="18" width="5.140625" customWidth="1"/>
    <col min="20" max="20" width="16.7109375" customWidth="1"/>
    <col min="22" max="22" width="3" bestFit="1" customWidth="1"/>
    <col min="23" max="23" width="6.5703125" customWidth="1"/>
    <col min="24" max="24" width="5.140625" customWidth="1"/>
    <col min="25" max="25" width="1.5703125" style="5" customWidth="1"/>
    <col min="33" max="33" width="15.85546875" customWidth="1"/>
    <col min="34" max="34" width="3" bestFit="1" customWidth="1"/>
    <col min="35" max="35" width="6" bestFit="1" customWidth="1"/>
  </cols>
  <sheetData>
    <row r="1" spans="1:36" ht="18.75" x14ac:dyDescent="0.3">
      <c r="A1" s="1063" t="s">
        <v>50</v>
      </c>
      <c r="B1" s="1063"/>
      <c r="C1" s="1063"/>
      <c r="D1" s="1063"/>
      <c r="E1" s="1063"/>
      <c r="F1" s="1063"/>
      <c r="G1" s="1063"/>
      <c r="H1" s="1063"/>
      <c r="I1" s="1063"/>
      <c r="J1" s="9"/>
      <c r="K1" s="9"/>
      <c r="L1" s="9"/>
      <c r="N1" s="1063" t="s">
        <v>59</v>
      </c>
      <c r="O1" s="1063"/>
      <c r="P1" s="1063"/>
      <c r="Q1" s="1063"/>
      <c r="R1" s="1063"/>
      <c r="S1" s="1063"/>
      <c r="T1" s="1063"/>
      <c r="U1" s="1063"/>
      <c r="Z1" s="1063" t="s">
        <v>64</v>
      </c>
      <c r="AA1" s="1063"/>
      <c r="AB1" s="1063"/>
      <c r="AC1" s="1063"/>
      <c r="AD1" s="1063"/>
      <c r="AE1" s="1063"/>
      <c r="AF1" s="1063"/>
      <c r="AG1" s="1063"/>
      <c r="AH1" s="9"/>
      <c r="AI1" s="9"/>
      <c r="AJ1" s="9"/>
    </row>
    <row r="2" spans="1:36" ht="18.75" x14ac:dyDescent="0.3">
      <c r="A2" s="9"/>
      <c r="B2" s="9"/>
      <c r="C2" s="9"/>
      <c r="D2" s="9"/>
      <c r="E2" s="26"/>
      <c r="F2" s="9"/>
      <c r="G2" s="9"/>
      <c r="H2" s="9"/>
      <c r="I2" s="9"/>
      <c r="J2" s="9"/>
      <c r="K2" s="9"/>
      <c r="L2" s="9"/>
      <c r="N2" s="9"/>
      <c r="O2" s="9"/>
      <c r="P2" s="9"/>
      <c r="Q2" s="9"/>
      <c r="R2" s="9"/>
      <c r="S2" s="9"/>
      <c r="T2" s="9"/>
      <c r="U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ht="29.25" customHeight="1" x14ac:dyDescent="0.25">
      <c r="B3" s="6" t="s">
        <v>0</v>
      </c>
      <c r="C3" s="7"/>
      <c r="D3" s="8">
        <v>500</v>
      </c>
      <c r="E3" s="10"/>
      <c r="G3" s="1053" t="s">
        <v>47</v>
      </c>
      <c r="H3" s="1064"/>
      <c r="I3" s="8">
        <f>(D3-D38)/D4</f>
        <v>13.2</v>
      </c>
      <c r="J3" s="10"/>
      <c r="K3" s="10"/>
      <c r="L3" s="10"/>
      <c r="O3" s="6" t="s">
        <v>0</v>
      </c>
      <c r="P3" s="7"/>
      <c r="Q3" s="8">
        <v>500</v>
      </c>
      <c r="S3" s="1053" t="s">
        <v>47</v>
      </c>
      <c r="T3" s="1064"/>
      <c r="U3" s="8">
        <f>(Q3-Q38)/Q4</f>
        <v>14.666666666666666</v>
      </c>
      <c r="V3" s="10"/>
      <c r="W3" s="10"/>
      <c r="X3" s="10"/>
      <c r="AA3" s="6" t="s">
        <v>0</v>
      </c>
      <c r="AB3" s="7"/>
      <c r="AC3" s="8">
        <v>500</v>
      </c>
      <c r="AE3" s="1053" t="s">
        <v>47</v>
      </c>
      <c r="AF3" s="1064"/>
      <c r="AG3" s="8">
        <f>(AC3-AC38)/AC4</f>
        <v>13.2</v>
      </c>
      <c r="AH3" s="10"/>
      <c r="AI3" s="10"/>
      <c r="AJ3" s="10"/>
    </row>
    <row r="4" spans="1:36" x14ac:dyDescent="0.25">
      <c r="B4" s="6" t="s">
        <v>1</v>
      </c>
      <c r="C4" s="7"/>
      <c r="D4" s="8">
        <v>30</v>
      </c>
      <c r="E4" s="10"/>
      <c r="G4" s="7"/>
      <c r="H4" s="7"/>
      <c r="I4" s="7"/>
      <c r="J4" s="11"/>
      <c r="K4" s="11"/>
      <c r="L4" s="11"/>
      <c r="O4" s="6" t="s">
        <v>1</v>
      </c>
      <c r="P4" s="7"/>
      <c r="Q4" s="8">
        <v>27</v>
      </c>
      <c r="S4" s="7"/>
      <c r="T4" s="7"/>
      <c r="U4" s="7"/>
      <c r="V4" s="11"/>
      <c r="W4" s="11"/>
      <c r="X4" s="11"/>
      <c r="AA4" s="6" t="s">
        <v>1</v>
      </c>
      <c r="AB4" s="7"/>
      <c r="AC4" s="8">
        <v>30</v>
      </c>
      <c r="AE4" s="7"/>
      <c r="AF4" s="7"/>
      <c r="AG4" s="7"/>
      <c r="AH4" s="11"/>
      <c r="AI4" s="11"/>
      <c r="AJ4" s="11"/>
    </row>
    <row r="5" spans="1:36" ht="15" customHeight="1" x14ac:dyDescent="0.25">
      <c r="G5" s="1065" t="s">
        <v>51</v>
      </c>
      <c r="H5" s="1065"/>
      <c r="I5" s="7"/>
      <c r="J5" s="11"/>
      <c r="K5" s="11"/>
      <c r="L5" s="11"/>
      <c r="S5" s="1065" t="s">
        <v>51</v>
      </c>
      <c r="T5" s="1065"/>
      <c r="U5" s="7"/>
      <c r="V5" s="11"/>
      <c r="W5" s="11"/>
      <c r="X5" s="11"/>
      <c r="AE5" s="1065" t="s">
        <v>51</v>
      </c>
      <c r="AF5" s="1065"/>
      <c r="AG5" s="7"/>
      <c r="AH5" s="11"/>
      <c r="AI5" s="11"/>
      <c r="AJ5" s="11"/>
    </row>
    <row r="6" spans="1:36" x14ac:dyDescent="0.25">
      <c r="B6" s="1" t="s">
        <v>2</v>
      </c>
      <c r="G6" s="1065"/>
      <c r="H6" s="1065"/>
      <c r="I6" s="7"/>
      <c r="J6" s="11"/>
      <c r="K6" s="11"/>
      <c r="L6" s="11"/>
      <c r="O6" s="1" t="s">
        <v>2</v>
      </c>
      <c r="S6" s="1065"/>
      <c r="T6" s="1065"/>
      <c r="U6" s="7"/>
      <c r="V6" s="11"/>
      <c r="W6" s="11"/>
      <c r="X6" s="11"/>
      <c r="AA6" s="1" t="s">
        <v>2</v>
      </c>
      <c r="AE6" s="1065"/>
      <c r="AF6" s="1065"/>
      <c r="AG6" s="7"/>
      <c r="AH6" s="11"/>
      <c r="AI6" s="11"/>
      <c r="AJ6" s="11"/>
    </row>
    <row r="7" spans="1:36" x14ac:dyDescent="0.25">
      <c r="A7">
        <v>1</v>
      </c>
      <c r="B7" s="3" t="s">
        <v>3</v>
      </c>
      <c r="E7">
        <v>29</v>
      </c>
      <c r="G7" s="1065"/>
      <c r="H7" s="1065"/>
      <c r="I7" s="7"/>
      <c r="J7" s="11"/>
      <c r="K7" s="11"/>
      <c r="L7" s="11"/>
      <c r="N7">
        <v>1</v>
      </c>
      <c r="O7" s="3" t="s">
        <v>3</v>
      </c>
      <c r="S7" s="1065"/>
      <c r="T7" s="1065"/>
      <c r="U7" s="7"/>
      <c r="V7" s="11"/>
      <c r="W7" s="11"/>
      <c r="X7" s="11"/>
      <c r="Z7">
        <v>1</v>
      </c>
      <c r="AA7" s="3" t="s">
        <v>3</v>
      </c>
      <c r="AE7" s="1065"/>
      <c r="AF7" s="1065"/>
      <c r="AG7" s="7"/>
      <c r="AH7" s="11"/>
      <c r="AI7" s="11"/>
      <c r="AJ7" s="11"/>
    </row>
    <row r="8" spans="1:36" x14ac:dyDescent="0.25">
      <c r="A8">
        <v>1</v>
      </c>
      <c r="B8" s="3" t="s">
        <v>48</v>
      </c>
      <c r="E8">
        <v>26</v>
      </c>
      <c r="G8" s="1065"/>
      <c r="H8" s="1065"/>
      <c r="I8" s="7"/>
      <c r="J8" s="11"/>
      <c r="K8" s="11"/>
      <c r="L8" s="11"/>
      <c r="N8">
        <v>1</v>
      </c>
      <c r="O8" s="3" t="s">
        <v>48</v>
      </c>
      <c r="S8" s="1065"/>
      <c r="T8" s="1065"/>
      <c r="U8" s="7"/>
      <c r="V8" s="11"/>
      <c r="W8" s="11"/>
      <c r="X8" s="11"/>
      <c r="Z8">
        <v>1</v>
      </c>
      <c r="AA8" s="3" t="s">
        <v>48</v>
      </c>
      <c r="AE8" s="1065"/>
      <c r="AF8" s="1065"/>
      <c r="AG8" s="7"/>
      <c r="AH8" s="11"/>
      <c r="AI8" s="11"/>
      <c r="AJ8" s="11"/>
    </row>
    <row r="9" spans="1:36" x14ac:dyDescent="0.25">
      <c r="A9">
        <v>1</v>
      </c>
      <c r="B9" s="4" t="s">
        <v>4</v>
      </c>
      <c r="E9">
        <v>9</v>
      </c>
      <c r="N9">
        <v>1</v>
      </c>
      <c r="O9" s="4" t="s">
        <v>4</v>
      </c>
      <c r="Z9">
        <v>1</v>
      </c>
      <c r="AA9" s="4" t="s">
        <v>4</v>
      </c>
    </row>
    <row r="10" spans="1:36" ht="15" customHeight="1" x14ac:dyDescent="0.25">
      <c r="A10">
        <v>1</v>
      </c>
      <c r="B10" s="3" t="s">
        <v>5</v>
      </c>
      <c r="E10">
        <v>24</v>
      </c>
      <c r="G10" s="1053" t="s">
        <v>52</v>
      </c>
      <c r="H10" s="1064"/>
      <c r="I10" s="8">
        <f>(D3-D38)/D4</f>
        <v>13.2</v>
      </c>
      <c r="J10" s="10"/>
      <c r="K10" s="10"/>
      <c r="L10" s="10"/>
      <c r="N10">
        <v>1</v>
      </c>
      <c r="O10" s="3" t="s">
        <v>5</v>
      </c>
      <c r="S10" s="1053" t="s">
        <v>52</v>
      </c>
      <c r="T10" s="1064"/>
      <c r="U10" s="8">
        <f>(Q3-Q38)/Q4</f>
        <v>14.666666666666666</v>
      </c>
      <c r="V10" s="10"/>
      <c r="W10" s="10"/>
      <c r="X10" s="10"/>
      <c r="Z10">
        <v>1</v>
      </c>
      <c r="AA10" s="3" t="s">
        <v>5</v>
      </c>
      <c r="AE10" s="1053" t="s">
        <v>52</v>
      </c>
      <c r="AF10" s="1064"/>
      <c r="AG10" s="8">
        <f>(AC3-AC38)/AC4</f>
        <v>13.2</v>
      </c>
      <c r="AH10" s="10"/>
      <c r="AI10" s="10"/>
      <c r="AJ10" s="10"/>
    </row>
    <row r="11" spans="1:36" x14ac:dyDescent="0.25">
      <c r="A11">
        <v>1</v>
      </c>
      <c r="B11" s="4" t="s">
        <v>6</v>
      </c>
      <c r="E11">
        <v>6</v>
      </c>
      <c r="G11" s="7"/>
      <c r="H11" s="7"/>
      <c r="I11" s="7"/>
      <c r="J11" s="11"/>
      <c r="K11" s="11"/>
      <c r="L11" s="11"/>
      <c r="N11">
        <v>1</v>
      </c>
      <c r="O11" s="4" t="s">
        <v>6</v>
      </c>
      <c r="S11" s="7"/>
      <c r="T11" s="7"/>
      <c r="U11" s="7"/>
      <c r="V11" s="11"/>
      <c r="W11" s="11"/>
      <c r="X11" s="11"/>
      <c r="Z11">
        <v>1</v>
      </c>
      <c r="AA11" s="4" t="s">
        <v>6</v>
      </c>
      <c r="AE11" s="7"/>
      <c r="AF11" s="7"/>
      <c r="AG11" s="7"/>
      <c r="AH11" s="11"/>
      <c r="AI11" s="11"/>
      <c r="AJ11" s="11"/>
    </row>
    <row r="12" spans="1:36" ht="15" customHeight="1" x14ac:dyDescent="0.25">
      <c r="A12">
        <v>1</v>
      </c>
      <c r="B12" s="3" t="s">
        <v>7</v>
      </c>
      <c r="E12">
        <v>22</v>
      </c>
      <c r="G12" s="1065" t="s">
        <v>61</v>
      </c>
      <c r="H12" s="1065"/>
      <c r="I12" s="13" t="s">
        <v>53</v>
      </c>
      <c r="J12" s="11">
        <f>A7+A8+A10+A12+A21+A24</f>
        <v>6</v>
      </c>
      <c r="K12" s="11">
        <v>24</v>
      </c>
      <c r="L12" s="11"/>
      <c r="N12">
        <v>1</v>
      </c>
      <c r="O12" s="3" t="s">
        <v>7</v>
      </c>
      <c r="S12" s="1065" t="s">
        <v>62</v>
      </c>
      <c r="T12" s="1065"/>
      <c r="U12" s="13" t="s">
        <v>53</v>
      </c>
      <c r="V12" s="11">
        <f>N7+N8+N10+N12+N22+N33</f>
        <v>6</v>
      </c>
      <c r="W12" s="11">
        <f>U10*2</f>
        <v>29.333333333333332</v>
      </c>
      <c r="X12" s="11"/>
      <c r="Z12">
        <v>1</v>
      </c>
      <c r="AA12" s="3" t="s">
        <v>7</v>
      </c>
      <c r="AE12" s="1065" t="s">
        <v>61</v>
      </c>
      <c r="AF12" s="1065"/>
      <c r="AG12" s="13" t="s">
        <v>53</v>
      </c>
      <c r="AH12" s="11">
        <f>Z7+Z8+Z10+Z12+Z24+Z35</f>
        <v>6</v>
      </c>
      <c r="AI12" s="11">
        <f>(AG10*2)/2</f>
        <v>13.2</v>
      </c>
      <c r="AJ12" s="11"/>
    </row>
    <row r="13" spans="1:36" x14ac:dyDescent="0.25">
      <c r="A13">
        <v>1</v>
      </c>
      <c r="B13" s="2" t="s">
        <v>8</v>
      </c>
      <c r="E13">
        <v>16</v>
      </c>
      <c r="G13" s="1065"/>
      <c r="H13" s="1065"/>
      <c r="I13" s="12" t="s">
        <v>54</v>
      </c>
      <c r="J13" s="11">
        <f>A13+A14+A16+A18+A20+A30+A31+A34+A35</f>
        <v>9</v>
      </c>
      <c r="K13" s="11">
        <v>18</v>
      </c>
      <c r="L13" s="11"/>
      <c r="N13">
        <v>1</v>
      </c>
      <c r="O13" s="2" t="s">
        <v>8</v>
      </c>
      <c r="S13" s="1065"/>
      <c r="T13" s="1065"/>
      <c r="U13" s="12" t="s">
        <v>54</v>
      </c>
      <c r="V13" s="11">
        <f>N13+N14+N16+N19+N28+N29+N32</f>
        <v>7</v>
      </c>
      <c r="W13" s="11">
        <f>U10*1.5</f>
        <v>22</v>
      </c>
      <c r="X13" s="11"/>
      <c r="Z13">
        <v>1</v>
      </c>
      <c r="AA13" s="2" t="s">
        <v>8</v>
      </c>
      <c r="AE13" s="1065"/>
      <c r="AF13" s="1065"/>
      <c r="AG13" s="12" t="s">
        <v>54</v>
      </c>
      <c r="AH13" s="11">
        <f>Z13+Z14+Z16+Z18+Z20+Z21+Z31+Z30+Z34</f>
        <v>9</v>
      </c>
      <c r="AI13" s="11">
        <f>(AG10*1.5)/2</f>
        <v>9.8999999999999986</v>
      </c>
      <c r="AJ13" s="11"/>
    </row>
    <row r="14" spans="1:36" x14ac:dyDescent="0.25">
      <c r="A14">
        <v>1</v>
      </c>
      <c r="B14" s="2" t="s">
        <v>9</v>
      </c>
      <c r="E14">
        <v>20</v>
      </c>
      <c r="G14" s="1065"/>
      <c r="H14" s="1065"/>
      <c r="I14" s="14" t="s">
        <v>55</v>
      </c>
      <c r="J14" s="11">
        <f>A9+A11+A15+A17+A19+A22+A23+A25+A26+A27+A28+A29+A32+A33+A36</f>
        <v>15</v>
      </c>
      <c r="K14" s="11">
        <v>8</v>
      </c>
      <c r="L14" s="11"/>
      <c r="N14">
        <v>1</v>
      </c>
      <c r="O14" s="2" t="s">
        <v>9</v>
      </c>
      <c r="S14" s="1065"/>
      <c r="T14" s="1065"/>
      <c r="U14" s="14" t="s">
        <v>55</v>
      </c>
      <c r="V14" s="11">
        <f>N9+N11+N15+N17+N18+N20+N21+N23+N24+N25+N26+N27+N30+N31</f>
        <v>14</v>
      </c>
      <c r="W14" s="11">
        <f>V14*0.8</f>
        <v>11.200000000000001</v>
      </c>
      <c r="X14" s="11"/>
      <c r="Z14">
        <v>1</v>
      </c>
      <c r="AA14" s="2" t="s">
        <v>9</v>
      </c>
      <c r="AE14" s="1065"/>
      <c r="AF14" s="1065"/>
      <c r="AG14" s="14" t="s">
        <v>55</v>
      </c>
      <c r="AH14" s="11">
        <f>Z9+Z11+Z15+Z17+Z19+Z22+Z23+Z25+Z27+Z28+Z29+Z26+Z32+Z33+Z36</f>
        <v>15</v>
      </c>
      <c r="AI14" s="11">
        <f>(AH14*0.7)/2</f>
        <v>5.25</v>
      </c>
      <c r="AJ14" s="11"/>
    </row>
    <row r="15" spans="1:36" x14ac:dyDescent="0.25">
      <c r="A15">
        <v>1</v>
      </c>
      <c r="B15" s="4" t="s">
        <v>10</v>
      </c>
      <c r="E15">
        <v>8</v>
      </c>
      <c r="G15" s="1065"/>
      <c r="H15" s="1065"/>
      <c r="I15" s="7" t="s">
        <v>56</v>
      </c>
      <c r="J15" s="11">
        <f>SUM(J12:J14)</f>
        <v>30</v>
      </c>
      <c r="K15" s="11">
        <f>(K12*J12)+(K13*J13)+(K14*J14)</f>
        <v>426</v>
      </c>
      <c r="L15" s="11"/>
      <c r="N15">
        <v>1</v>
      </c>
      <c r="O15" s="4" t="s">
        <v>10</v>
      </c>
      <c r="S15" s="1065"/>
      <c r="T15" s="1065"/>
      <c r="U15" s="7" t="s">
        <v>56</v>
      </c>
      <c r="V15" s="11">
        <f>SUM(V12:V14)</f>
        <v>27</v>
      </c>
      <c r="W15" s="11">
        <f>(W12*V12)+(W13*V13)+(W14*V14)</f>
        <v>486.8</v>
      </c>
      <c r="X15" s="11"/>
      <c r="Z15">
        <v>1</v>
      </c>
      <c r="AA15" s="4" t="s">
        <v>10</v>
      </c>
      <c r="AE15" s="1065"/>
      <c r="AF15" s="1065"/>
      <c r="AG15" s="7" t="s">
        <v>56</v>
      </c>
      <c r="AH15" s="11">
        <f>SUM(AH12:AH14)</f>
        <v>30</v>
      </c>
      <c r="AI15" s="11">
        <f>((AI12*AH12)+(AI13*AH13)+(AI14*AH14))*2</f>
        <v>494.09999999999997</v>
      </c>
      <c r="AJ15" s="11"/>
    </row>
    <row r="16" spans="1:36" x14ac:dyDescent="0.25">
      <c r="A16">
        <v>1</v>
      </c>
      <c r="B16" s="2" t="s">
        <v>11</v>
      </c>
      <c r="E16">
        <v>20</v>
      </c>
      <c r="N16">
        <v>1</v>
      </c>
      <c r="O16" s="2" t="s">
        <v>11</v>
      </c>
      <c r="Z16">
        <v>1</v>
      </c>
      <c r="AA16" s="2" t="s">
        <v>11</v>
      </c>
    </row>
    <row r="17" spans="1:33" ht="15" customHeight="1" x14ac:dyDescent="0.25">
      <c r="A17">
        <v>1</v>
      </c>
      <c r="B17" s="4" t="s">
        <v>12</v>
      </c>
      <c r="E17">
        <v>8</v>
      </c>
      <c r="G17" s="1053" t="s">
        <v>58</v>
      </c>
      <c r="H17" s="1053"/>
      <c r="I17" s="1053"/>
      <c r="N17">
        <v>1</v>
      </c>
      <c r="O17" s="4" t="s">
        <v>12</v>
      </c>
      <c r="S17" s="1053" t="s">
        <v>63</v>
      </c>
      <c r="T17" s="1053"/>
      <c r="U17" s="1053"/>
      <c r="Z17">
        <v>1</v>
      </c>
      <c r="AA17" s="4" t="s">
        <v>12</v>
      </c>
      <c r="AE17" s="1053" t="s">
        <v>65</v>
      </c>
      <c r="AF17" s="1053"/>
      <c r="AG17" s="1053"/>
    </row>
    <row r="18" spans="1:33" x14ac:dyDescent="0.25">
      <c r="A18">
        <v>1</v>
      </c>
      <c r="B18" s="2" t="s">
        <v>13</v>
      </c>
      <c r="E18">
        <v>16</v>
      </c>
      <c r="G18" s="1053"/>
      <c r="H18" s="1053"/>
      <c r="I18" s="1053"/>
      <c r="N18">
        <v>1</v>
      </c>
      <c r="O18" s="4" t="s">
        <v>14</v>
      </c>
      <c r="S18" s="1053"/>
      <c r="T18" s="1053"/>
      <c r="U18" s="1053"/>
      <c r="Z18">
        <v>1</v>
      </c>
      <c r="AA18" s="2" t="s">
        <v>13</v>
      </c>
      <c r="AE18" s="1053"/>
      <c r="AF18" s="1053"/>
      <c r="AG18" s="1053"/>
    </row>
    <row r="19" spans="1:33" x14ac:dyDescent="0.25">
      <c r="A19">
        <v>1</v>
      </c>
      <c r="B19" s="4" t="s">
        <v>14</v>
      </c>
      <c r="E19">
        <v>7</v>
      </c>
      <c r="G19" s="1053"/>
      <c r="H19" s="1053"/>
      <c r="I19" s="1053"/>
      <c r="N19">
        <v>1</v>
      </c>
      <c r="O19" s="2" t="s">
        <v>15</v>
      </c>
      <c r="S19" s="1053"/>
      <c r="T19" s="1053"/>
      <c r="U19" s="1053"/>
      <c r="Z19">
        <v>1</v>
      </c>
      <c r="AA19" s="4" t="s">
        <v>14</v>
      </c>
      <c r="AE19" s="1053"/>
      <c r="AF19" s="1053"/>
      <c r="AG19" s="1053"/>
    </row>
    <row r="20" spans="1:33" x14ac:dyDescent="0.25">
      <c r="A20">
        <v>1</v>
      </c>
      <c r="B20" s="2" t="s">
        <v>49</v>
      </c>
      <c r="E20">
        <v>14</v>
      </c>
      <c r="G20" s="1053"/>
      <c r="H20" s="1053"/>
      <c r="I20" s="1053"/>
      <c r="N20">
        <v>1</v>
      </c>
      <c r="O20" s="4" t="s">
        <v>16</v>
      </c>
      <c r="S20" s="1053"/>
      <c r="T20" s="1053"/>
      <c r="U20" s="1053"/>
      <c r="Z20">
        <v>1</v>
      </c>
      <c r="AA20" s="2" t="s">
        <v>49</v>
      </c>
      <c r="AE20" s="1053"/>
      <c r="AF20" s="1053"/>
      <c r="AG20" s="1053"/>
    </row>
    <row r="21" spans="1:33" x14ac:dyDescent="0.25">
      <c r="A21">
        <v>1</v>
      </c>
      <c r="B21" s="3" t="s">
        <v>15</v>
      </c>
      <c r="E21">
        <v>23</v>
      </c>
      <c r="G21" s="1053"/>
      <c r="H21" s="1053"/>
      <c r="I21" s="1053"/>
      <c r="N21">
        <v>1</v>
      </c>
      <c r="O21" s="4" t="s">
        <v>17</v>
      </c>
      <c r="S21" s="1053"/>
      <c r="T21" s="1053"/>
      <c r="U21" s="1053"/>
      <c r="Z21">
        <v>1</v>
      </c>
      <c r="AA21" s="3" t="s">
        <v>15</v>
      </c>
      <c r="AE21" s="1053"/>
      <c r="AF21" s="1053"/>
      <c r="AG21" s="1053"/>
    </row>
    <row r="22" spans="1:33" x14ac:dyDescent="0.25">
      <c r="A22">
        <v>1</v>
      </c>
      <c r="B22" s="4" t="s">
        <v>16</v>
      </c>
      <c r="E22">
        <v>6</v>
      </c>
      <c r="G22" s="1053"/>
      <c r="H22" s="1053"/>
      <c r="I22" s="1053"/>
      <c r="N22">
        <v>1</v>
      </c>
      <c r="O22" s="3" t="s">
        <v>18</v>
      </c>
      <c r="S22" s="1053"/>
      <c r="T22" s="1053"/>
      <c r="U22" s="1053"/>
      <c r="Z22">
        <v>1</v>
      </c>
      <c r="AA22" s="4" t="s">
        <v>16</v>
      </c>
      <c r="AE22" s="1053"/>
      <c r="AF22" s="1053"/>
      <c r="AG22" s="1053"/>
    </row>
    <row r="23" spans="1:33" x14ac:dyDescent="0.25">
      <c r="A23">
        <v>1</v>
      </c>
      <c r="B23" s="4" t="s">
        <v>17</v>
      </c>
      <c r="E23">
        <v>8</v>
      </c>
      <c r="G23" s="1053"/>
      <c r="H23" s="1053"/>
      <c r="I23" s="1053"/>
      <c r="N23">
        <v>1</v>
      </c>
      <c r="O23" s="4" t="s">
        <v>19</v>
      </c>
      <c r="S23" s="1053"/>
      <c r="T23" s="1053"/>
      <c r="U23" s="1053"/>
      <c r="Z23">
        <v>1</v>
      </c>
      <c r="AA23" s="4" t="s">
        <v>17</v>
      </c>
      <c r="AE23" s="1053"/>
      <c r="AF23" s="1053"/>
      <c r="AG23" s="1053"/>
    </row>
    <row r="24" spans="1:33" x14ac:dyDescent="0.25">
      <c r="A24">
        <v>1</v>
      </c>
      <c r="B24" s="3" t="s">
        <v>18</v>
      </c>
      <c r="E24">
        <v>17</v>
      </c>
      <c r="G24" s="1053"/>
      <c r="H24" s="1053"/>
      <c r="I24" s="1053"/>
      <c r="N24">
        <v>1</v>
      </c>
      <c r="O24" s="4" t="s">
        <v>20</v>
      </c>
      <c r="S24" s="1053"/>
      <c r="T24" s="1053"/>
      <c r="U24" s="1053"/>
      <c r="Z24">
        <v>1</v>
      </c>
      <c r="AA24" s="3" t="s">
        <v>18</v>
      </c>
      <c r="AE24" s="1053"/>
      <c r="AF24" s="1053"/>
      <c r="AG24" s="1053"/>
    </row>
    <row r="25" spans="1:33" x14ac:dyDescent="0.25">
      <c r="A25">
        <v>1</v>
      </c>
      <c r="B25" s="4" t="s">
        <v>19</v>
      </c>
      <c r="E25">
        <v>6</v>
      </c>
      <c r="G25" s="1053"/>
      <c r="H25" s="1053"/>
      <c r="I25" s="1053"/>
      <c r="N25">
        <v>1</v>
      </c>
      <c r="O25" s="4" t="s">
        <v>21</v>
      </c>
      <c r="S25" s="1053"/>
      <c r="T25" s="1053"/>
      <c r="U25" s="1053"/>
      <c r="Z25">
        <v>1</v>
      </c>
      <c r="AA25" s="4" t="s">
        <v>19</v>
      </c>
      <c r="AE25" s="1053"/>
      <c r="AF25" s="1053"/>
      <c r="AG25" s="1053"/>
    </row>
    <row r="26" spans="1:33" x14ac:dyDescent="0.25">
      <c r="A26">
        <v>1</v>
      </c>
      <c r="B26" s="4" t="s">
        <v>20</v>
      </c>
      <c r="E26">
        <v>10</v>
      </c>
      <c r="N26">
        <v>1</v>
      </c>
      <c r="O26" s="4" t="s">
        <v>22</v>
      </c>
      <c r="Z26">
        <v>1</v>
      </c>
      <c r="AA26" s="4" t="s">
        <v>20</v>
      </c>
    </row>
    <row r="27" spans="1:33" x14ac:dyDescent="0.25">
      <c r="A27">
        <v>1</v>
      </c>
      <c r="B27" s="4" t="s">
        <v>21</v>
      </c>
      <c r="E27">
        <v>6</v>
      </c>
      <c r="N27">
        <v>1</v>
      </c>
      <c r="O27" s="4" t="s">
        <v>23</v>
      </c>
      <c r="Z27">
        <v>1</v>
      </c>
      <c r="AA27" s="4" t="s">
        <v>21</v>
      </c>
    </row>
    <row r="28" spans="1:33" x14ac:dyDescent="0.25">
      <c r="A28">
        <v>1</v>
      </c>
      <c r="B28" s="4" t="s">
        <v>22</v>
      </c>
      <c r="E28">
        <v>6</v>
      </c>
      <c r="N28">
        <v>1</v>
      </c>
      <c r="O28" s="2" t="s">
        <v>24</v>
      </c>
      <c r="Z28">
        <v>1</v>
      </c>
      <c r="AA28" s="4" t="s">
        <v>22</v>
      </c>
      <c r="AE28" s="1054" t="s">
        <v>66</v>
      </c>
      <c r="AF28" s="1055"/>
      <c r="AG28" s="1056"/>
    </row>
    <row r="29" spans="1:33" x14ac:dyDescent="0.25">
      <c r="A29">
        <v>1</v>
      </c>
      <c r="B29" s="4" t="s">
        <v>23</v>
      </c>
      <c r="E29">
        <v>8</v>
      </c>
      <c r="N29">
        <v>1</v>
      </c>
      <c r="O29" s="2" t="s">
        <v>25</v>
      </c>
      <c r="Z29">
        <v>1</v>
      </c>
      <c r="AA29" s="4" t="s">
        <v>23</v>
      </c>
      <c r="AE29" s="1057"/>
      <c r="AF29" s="1058"/>
      <c r="AG29" s="1059"/>
    </row>
    <row r="30" spans="1:33" x14ac:dyDescent="0.25">
      <c r="A30">
        <v>1</v>
      </c>
      <c r="B30" s="2" t="s">
        <v>24</v>
      </c>
      <c r="E30">
        <v>17</v>
      </c>
      <c r="N30">
        <v>1</v>
      </c>
      <c r="O30" s="4" t="s">
        <v>26</v>
      </c>
      <c r="Z30">
        <v>1</v>
      </c>
      <c r="AA30" s="2" t="s">
        <v>24</v>
      </c>
      <c r="AE30" s="1057"/>
      <c r="AF30" s="1058"/>
      <c r="AG30" s="1059"/>
    </row>
    <row r="31" spans="1:33" x14ac:dyDescent="0.25">
      <c r="A31">
        <v>1</v>
      </c>
      <c r="B31" s="2" t="s">
        <v>25</v>
      </c>
      <c r="E31">
        <v>12</v>
      </c>
      <c r="N31">
        <v>1</v>
      </c>
      <c r="O31" s="4" t="s">
        <v>27</v>
      </c>
      <c r="Z31">
        <v>1</v>
      </c>
      <c r="AA31" s="2" t="s">
        <v>25</v>
      </c>
      <c r="AE31" s="1057"/>
      <c r="AF31" s="1058"/>
      <c r="AG31" s="1059"/>
    </row>
    <row r="32" spans="1:33" x14ac:dyDescent="0.25">
      <c r="A32">
        <v>1</v>
      </c>
      <c r="B32" s="4" t="s">
        <v>26</v>
      </c>
      <c r="E32">
        <v>6</v>
      </c>
      <c r="N32">
        <v>1</v>
      </c>
      <c r="O32" s="2" t="s">
        <v>28</v>
      </c>
      <c r="Z32">
        <v>1</v>
      </c>
      <c r="AA32" s="4" t="s">
        <v>26</v>
      </c>
      <c r="AE32" s="1057"/>
      <c r="AF32" s="1058"/>
      <c r="AG32" s="1059"/>
    </row>
    <row r="33" spans="1:33" x14ac:dyDescent="0.25">
      <c r="A33">
        <v>1</v>
      </c>
      <c r="B33" s="4" t="s">
        <v>27</v>
      </c>
      <c r="E33">
        <v>6</v>
      </c>
      <c r="N33">
        <v>1</v>
      </c>
      <c r="O33" s="3" t="s">
        <v>29</v>
      </c>
      <c r="Z33">
        <v>1</v>
      </c>
      <c r="AA33" s="4" t="s">
        <v>27</v>
      </c>
      <c r="AE33" s="1057"/>
      <c r="AF33" s="1058"/>
      <c r="AG33" s="1059"/>
    </row>
    <row r="34" spans="1:33" x14ac:dyDescent="0.25">
      <c r="A34">
        <v>1</v>
      </c>
      <c r="B34" s="2" t="s">
        <v>28</v>
      </c>
      <c r="E34">
        <v>14</v>
      </c>
      <c r="N34">
        <f>SUM(N7:N33)</f>
        <v>27</v>
      </c>
      <c r="Z34">
        <v>1</v>
      </c>
      <c r="AA34" s="2" t="s">
        <v>28</v>
      </c>
      <c r="AE34" s="1060"/>
      <c r="AF34" s="1061"/>
      <c r="AG34" s="1062"/>
    </row>
    <row r="35" spans="1:33" x14ac:dyDescent="0.25">
      <c r="A35">
        <v>1</v>
      </c>
      <c r="B35" s="2" t="s">
        <v>29</v>
      </c>
      <c r="E35">
        <v>16</v>
      </c>
      <c r="O35" s="1" t="s">
        <v>60</v>
      </c>
      <c r="Z35">
        <v>1</v>
      </c>
      <c r="AA35" s="2" t="s">
        <v>29</v>
      </c>
    </row>
    <row r="36" spans="1:33" x14ac:dyDescent="0.25">
      <c r="A36">
        <v>1</v>
      </c>
      <c r="B36" s="4" t="s">
        <v>30</v>
      </c>
      <c r="E36">
        <v>8</v>
      </c>
      <c r="Z36">
        <v>1</v>
      </c>
      <c r="AA36" s="4" t="s">
        <v>30</v>
      </c>
    </row>
    <row r="37" spans="1:33" x14ac:dyDescent="0.25">
      <c r="A37" s="1">
        <f>SUM(A7:A36)</f>
        <v>30</v>
      </c>
      <c r="E37" s="1">
        <f>SUM(E7:E36)</f>
        <v>394</v>
      </c>
      <c r="Z37">
        <f>SUM(Z7:Z36)</f>
        <v>30</v>
      </c>
    </row>
    <row r="38" spans="1:33" ht="21" x14ac:dyDescent="0.35">
      <c r="B38" s="22" t="s">
        <v>31</v>
      </c>
      <c r="C38" s="15"/>
      <c r="D38" s="25">
        <f>SUM(C39+C44)</f>
        <v>104</v>
      </c>
      <c r="E38" s="27"/>
      <c r="O38" s="22" t="s">
        <v>31</v>
      </c>
      <c r="P38" s="15"/>
      <c r="Q38" s="25">
        <f>SUM(P39+P44)</f>
        <v>104</v>
      </c>
      <c r="AA38" s="22" t="s">
        <v>31</v>
      </c>
      <c r="AB38" s="15"/>
      <c r="AC38" s="25">
        <f>SUM(AB39+AB44)</f>
        <v>104</v>
      </c>
    </row>
    <row r="39" spans="1:33" x14ac:dyDescent="0.25">
      <c r="B39" s="23" t="s">
        <v>32</v>
      </c>
      <c r="C39" s="17">
        <f>SUM(A40:A43)</f>
        <v>4</v>
      </c>
      <c r="D39" s="18"/>
      <c r="E39" s="11"/>
      <c r="O39" s="23" t="s">
        <v>32</v>
      </c>
      <c r="P39" s="17">
        <f>SUM(N40:N43)</f>
        <v>4</v>
      </c>
      <c r="Q39" s="18"/>
      <c r="AA39" s="23" t="s">
        <v>32</v>
      </c>
      <c r="AB39" s="17">
        <f>SUM(Z40:Z43)</f>
        <v>4</v>
      </c>
      <c r="AC39" s="18"/>
    </row>
    <row r="40" spans="1:33" x14ac:dyDescent="0.25">
      <c r="A40">
        <v>1</v>
      </c>
      <c r="B40" s="16" t="s">
        <v>33</v>
      </c>
      <c r="C40" s="11"/>
      <c r="D40" s="18"/>
      <c r="E40" s="11"/>
      <c r="N40">
        <v>1</v>
      </c>
      <c r="O40" s="16" t="s">
        <v>33</v>
      </c>
      <c r="P40" s="11"/>
      <c r="Q40" s="18"/>
      <c r="Z40">
        <v>1</v>
      </c>
      <c r="AA40" s="16" t="s">
        <v>33</v>
      </c>
      <c r="AB40" s="11"/>
      <c r="AC40" s="18"/>
    </row>
    <row r="41" spans="1:33" x14ac:dyDescent="0.25">
      <c r="A41">
        <v>1</v>
      </c>
      <c r="B41" s="16" t="s">
        <v>34</v>
      </c>
      <c r="C41" s="11"/>
      <c r="D41" s="18"/>
      <c r="E41" s="11"/>
      <c r="N41">
        <v>1</v>
      </c>
      <c r="O41" s="16" t="s">
        <v>34</v>
      </c>
      <c r="P41" s="11"/>
      <c r="Q41" s="18"/>
      <c r="Z41">
        <v>1</v>
      </c>
      <c r="AA41" s="16" t="s">
        <v>34</v>
      </c>
      <c r="AB41" s="11"/>
      <c r="AC41" s="18"/>
    </row>
    <row r="42" spans="1:33" x14ac:dyDescent="0.25">
      <c r="A42">
        <v>1</v>
      </c>
      <c r="B42" s="16" t="s">
        <v>35</v>
      </c>
      <c r="C42" s="11"/>
      <c r="D42" s="18"/>
      <c r="E42" s="11"/>
      <c r="N42">
        <v>1</v>
      </c>
      <c r="O42" s="16" t="s">
        <v>35</v>
      </c>
      <c r="P42" s="11"/>
      <c r="Q42" s="18"/>
      <c r="Z42">
        <v>1</v>
      </c>
      <c r="AA42" s="16" t="s">
        <v>35</v>
      </c>
      <c r="AB42" s="11"/>
      <c r="AC42" s="18"/>
    </row>
    <row r="43" spans="1:33" x14ac:dyDescent="0.25">
      <c r="A43">
        <v>1</v>
      </c>
      <c r="B43" s="16" t="s">
        <v>36</v>
      </c>
      <c r="C43" s="11"/>
      <c r="D43" s="18"/>
      <c r="E43" s="11"/>
      <c r="N43">
        <v>1</v>
      </c>
      <c r="O43" s="16" t="s">
        <v>36</v>
      </c>
      <c r="P43" s="11"/>
      <c r="Q43" s="18"/>
      <c r="Z43">
        <v>1</v>
      </c>
      <c r="AA43" s="16" t="s">
        <v>36</v>
      </c>
      <c r="AB43" s="11"/>
      <c r="AC43" s="18"/>
    </row>
    <row r="44" spans="1:33" ht="30" customHeight="1" x14ac:dyDescent="0.25">
      <c r="B44" s="24" t="s">
        <v>45</v>
      </c>
      <c r="C44" s="17">
        <v>100</v>
      </c>
      <c r="D44" s="18"/>
      <c r="E44" s="11"/>
      <c r="O44" s="24" t="s">
        <v>45</v>
      </c>
      <c r="P44" s="17">
        <v>100</v>
      </c>
      <c r="Q44" s="18"/>
      <c r="AA44" s="24" t="s">
        <v>45</v>
      </c>
      <c r="AB44" s="17">
        <v>100</v>
      </c>
      <c r="AC44" s="18"/>
    </row>
    <row r="45" spans="1:33" x14ac:dyDescent="0.25">
      <c r="B45" s="16" t="s">
        <v>37</v>
      </c>
      <c r="C45" s="11"/>
      <c r="D45" s="18"/>
      <c r="E45" s="11"/>
      <c r="O45" s="16" t="s">
        <v>37</v>
      </c>
      <c r="P45" s="11"/>
      <c r="Q45" s="18"/>
      <c r="AA45" s="16" t="s">
        <v>37</v>
      </c>
      <c r="AB45" s="11"/>
      <c r="AC45" s="18"/>
    </row>
    <row r="46" spans="1:33" x14ac:dyDescent="0.25">
      <c r="B46" s="16" t="s">
        <v>38</v>
      </c>
      <c r="C46" s="11"/>
      <c r="D46" s="18"/>
      <c r="E46" s="11"/>
      <c r="O46" s="16" t="s">
        <v>38</v>
      </c>
      <c r="P46" s="11"/>
      <c r="Q46" s="18"/>
      <c r="AA46" s="16" t="s">
        <v>38</v>
      </c>
      <c r="AB46" s="11"/>
      <c r="AC46" s="18"/>
    </row>
    <row r="47" spans="1:33" x14ac:dyDescent="0.25">
      <c r="B47" s="16" t="s">
        <v>39</v>
      </c>
      <c r="C47" s="11"/>
      <c r="D47" s="18"/>
      <c r="E47" s="11"/>
      <c r="O47" s="16" t="s">
        <v>39</v>
      </c>
      <c r="P47" s="11"/>
      <c r="Q47" s="18"/>
      <c r="AA47" s="16" t="s">
        <v>39</v>
      </c>
      <c r="AB47" s="11"/>
      <c r="AC47" s="18"/>
    </row>
    <row r="48" spans="1:33" x14ac:dyDescent="0.25">
      <c r="B48" s="16" t="s">
        <v>40</v>
      </c>
      <c r="C48" s="11"/>
      <c r="D48" s="18"/>
      <c r="E48" s="11"/>
      <c r="O48" s="16" t="s">
        <v>40</v>
      </c>
      <c r="P48" s="11"/>
      <c r="Q48" s="18"/>
      <c r="AA48" s="16" t="s">
        <v>40</v>
      </c>
      <c r="AB48" s="11"/>
      <c r="AC48" s="18"/>
    </row>
    <row r="49" spans="2:29" x14ac:dyDescent="0.25">
      <c r="B49" s="16" t="s">
        <v>41</v>
      </c>
      <c r="C49" s="11"/>
      <c r="D49" s="18"/>
      <c r="E49" s="11"/>
      <c r="O49" s="16" t="s">
        <v>41</v>
      </c>
      <c r="P49" s="11"/>
      <c r="Q49" s="18"/>
      <c r="AA49" s="16" t="s">
        <v>41</v>
      </c>
      <c r="AB49" s="11"/>
      <c r="AC49" s="18"/>
    </row>
    <row r="50" spans="2:29" x14ac:dyDescent="0.25">
      <c r="B50" s="16" t="s">
        <v>42</v>
      </c>
      <c r="C50" s="11"/>
      <c r="D50" s="18"/>
      <c r="E50" s="11"/>
      <c r="O50" s="16" t="s">
        <v>42</v>
      </c>
      <c r="P50" s="11"/>
      <c r="Q50" s="18"/>
      <c r="AA50" s="16" t="s">
        <v>42</v>
      </c>
      <c r="AB50" s="11"/>
      <c r="AC50" s="18"/>
    </row>
    <row r="51" spans="2:29" x14ac:dyDescent="0.25">
      <c r="B51" s="16" t="s">
        <v>43</v>
      </c>
      <c r="C51" s="11"/>
      <c r="D51" s="18"/>
      <c r="E51" s="11"/>
      <c r="O51" s="16" t="s">
        <v>43</v>
      </c>
      <c r="P51" s="11"/>
      <c r="Q51" s="18"/>
      <c r="AA51" s="16" t="s">
        <v>43</v>
      </c>
      <c r="AB51" s="11"/>
      <c r="AC51" s="18"/>
    </row>
    <row r="52" spans="2:29" x14ac:dyDescent="0.25">
      <c r="B52" s="16" t="s">
        <v>46</v>
      </c>
      <c r="C52" s="11"/>
      <c r="D52" s="18"/>
      <c r="E52" s="11"/>
      <c r="O52" s="16" t="s">
        <v>46</v>
      </c>
      <c r="P52" s="11"/>
      <c r="Q52" s="18"/>
      <c r="AA52" s="16" t="s">
        <v>46</v>
      </c>
      <c r="AB52" s="11"/>
      <c r="AC52" s="18"/>
    </row>
    <row r="53" spans="2:29" x14ac:dyDescent="0.25">
      <c r="B53" s="19" t="s">
        <v>44</v>
      </c>
      <c r="C53" s="20"/>
      <c r="D53" s="21"/>
      <c r="E53" s="11"/>
      <c r="O53" s="19" t="s">
        <v>44</v>
      </c>
      <c r="P53" s="20"/>
      <c r="Q53" s="21"/>
      <c r="AA53" s="19" t="s">
        <v>44</v>
      </c>
      <c r="AB53" s="20"/>
      <c r="AC53" s="21"/>
    </row>
    <row r="54" spans="2:29" x14ac:dyDescent="0.25">
      <c r="B54" s="1"/>
      <c r="O54" s="1"/>
      <c r="AA54" s="1"/>
    </row>
    <row r="55" spans="2:29" ht="15" customHeight="1" x14ac:dyDescent="0.25">
      <c r="B55" s="1053" t="s">
        <v>57</v>
      </c>
      <c r="C55" s="1053"/>
      <c r="O55" s="1053" t="s">
        <v>57</v>
      </c>
      <c r="P55" s="1053"/>
      <c r="AA55" s="1053" t="s">
        <v>57</v>
      </c>
      <c r="AB55" s="1053"/>
    </row>
    <row r="56" spans="2:29" x14ac:dyDescent="0.25">
      <c r="B56" s="1053"/>
      <c r="C56" s="1053"/>
      <c r="O56" s="1053"/>
      <c r="P56" s="1053"/>
      <c r="AA56" s="1053"/>
      <c r="AB56" s="1053"/>
    </row>
    <row r="57" spans="2:29" x14ac:dyDescent="0.25">
      <c r="B57" s="1053"/>
      <c r="C57" s="1053"/>
      <c r="O57" s="1053"/>
      <c r="P57" s="1053"/>
      <c r="AA57" s="1053"/>
      <c r="AB57" s="1053"/>
    </row>
    <row r="58" spans="2:29" x14ac:dyDescent="0.25">
      <c r="B58" s="1053"/>
      <c r="C58" s="1053"/>
      <c r="O58" s="1053"/>
      <c r="P58" s="1053"/>
      <c r="AA58" s="1053"/>
      <c r="AB58" s="1053"/>
    </row>
    <row r="59" spans="2:29" x14ac:dyDescent="0.25">
      <c r="B59" s="1053"/>
      <c r="C59" s="1053"/>
      <c r="O59" s="1053"/>
      <c r="P59" s="1053"/>
      <c r="AA59" s="1053"/>
      <c r="AB59" s="1053"/>
    </row>
  </sheetData>
  <mergeCells count="22">
    <mergeCell ref="O55:P59"/>
    <mergeCell ref="N1:U1"/>
    <mergeCell ref="G3:H3"/>
    <mergeCell ref="A1:I1"/>
    <mergeCell ref="G5:H8"/>
    <mergeCell ref="G10:H10"/>
    <mergeCell ref="G12:H15"/>
    <mergeCell ref="B55:C59"/>
    <mergeCell ref="G17:I25"/>
    <mergeCell ref="S3:T3"/>
    <mergeCell ref="S5:T8"/>
    <mergeCell ref="S10:T10"/>
    <mergeCell ref="S12:T15"/>
    <mergeCell ref="S17:U25"/>
    <mergeCell ref="AA55:AB59"/>
    <mergeCell ref="AE28:AG34"/>
    <mergeCell ref="Z1:AG1"/>
    <mergeCell ref="AE3:AF3"/>
    <mergeCell ref="AE5:AF8"/>
    <mergeCell ref="AE10:AF10"/>
    <mergeCell ref="AE12:AF15"/>
    <mergeCell ref="AE17:AG2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8" sqref="F18"/>
    </sheetView>
  </sheetViews>
  <sheetFormatPr defaultRowHeight="15" x14ac:dyDescent="0.25"/>
  <cols>
    <col min="2" max="2" width="12" bestFit="1" customWidth="1"/>
    <col min="4" max="4" width="12" bestFit="1" customWidth="1"/>
    <col min="7" max="7" width="12" bestFit="1" customWidth="1"/>
  </cols>
  <sheetData>
    <row r="1" spans="1:2" x14ac:dyDescent="0.25">
      <c r="A1" t="s">
        <v>67</v>
      </c>
    </row>
    <row r="2" spans="1:2" x14ac:dyDescent="0.25">
      <c r="A2" t="s">
        <v>68</v>
      </c>
    </row>
    <row r="5" spans="1:2" x14ac:dyDescent="0.25">
      <c r="B5">
        <v>84956873608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O21" sqref="O2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25"/>
  <sheetViews>
    <sheetView topLeftCell="A98" workbookViewId="0">
      <selection activeCell="B5" sqref="B5"/>
    </sheetView>
  </sheetViews>
  <sheetFormatPr defaultRowHeight="15" x14ac:dyDescent="0.25"/>
  <sheetData>
    <row r="1" spans="1:1" x14ac:dyDescent="0.25">
      <c r="A1" t="s">
        <v>527</v>
      </c>
    </row>
    <row r="3" spans="1:1" x14ac:dyDescent="0.25">
      <c r="A3" t="s">
        <v>528</v>
      </c>
    </row>
    <row r="4" spans="1:1" x14ac:dyDescent="0.25">
      <c r="A4" t="s">
        <v>69</v>
      </c>
    </row>
    <row r="5" spans="1:1" x14ac:dyDescent="0.25">
      <c r="A5" t="s">
        <v>529</v>
      </c>
    </row>
    <row r="6" spans="1:1" x14ac:dyDescent="0.25">
      <c r="A6" t="s">
        <v>530</v>
      </c>
    </row>
    <row r="7" spans="1:1" x14ac:dyDescent="0.25">
      <c r="A7" t="s">
        <v>531</v>
      </c>
    </row>
    <row r="8" spans="1:1" x14ac:dyDescent="0.25">
      <c r="A8" t="s">
        <v>532</v>
      </c>
    </row>
    <row r="9" spans="1:1" x14ac:dyDescent="0.25">
      <c r="A9" t="s">
        <v>70</v>
      </c>
    </row>
    <row r="10" spans="1:1" x14ac:dyDescent="0.25">
      <c r="A10" t="s">
        <v>71</v>
      </c>
    </row>
    <row r="11" spans="1:1" x14ac:dyDescent="0.25">
      <c r="A11" t="s">
        <v>72</v>
      </c>
    </row>
    <row r="12" spans="1:1" x14ac:dyDescent="0.25">
      <c r="A12" t="s">
        <v>73</v>
      </c>
    </row>
    <row r="13" spans="1:1" x14ac:dyDescent="0.25">
      <c r="A13" t="s">
        <v>138</v>
      </c>
    </row>
    <row r="15" spans="1:1" x14ac:dyDescent="0.25">
      <c r="A15" t="s">
        <v>533</v>
      </c>
    </row>
    <row r="16" spans="1:1" x14ac:dyDescent="0.25">
      <c r="A16" t="s">
        <v>74</v>
      </c>
    </row>
    <row r="18" spans="1:1" x14ac:dyDescent="0.25">
      <c r="A18" t="s">
        <v>69</v>
      </c>
    </row>
    <row r="20" spans="1:1" x14ac:dyDescent="0.25">
      <c r="A20" t="s">
        <v>75</v>
      </c>
    </row>
    <row r="21" spans="1:1" x14ac:dyDescent="0.25">
      <c r="A21" t="s">
        <v>534</v>
      </c>
    </row>
    <row r="22" spans="1:1" x14ac:dyDescent="0.25">
      <c r="A22" t="s">
        <v>76</v>
      </c>
    </row>
    <row r="24" spans="1:1" x14ac:dyDescent="0.25">
      <c r="A24" t="s">
        <v>77</v>
      </c>
    </row>
    <row r="25" spans="1:1" x14ac:dyDescent="0.25">
      <c r="A25" t="s">
        <v>78</v>
      </c>
    </row>
    <row r="26" spans="1:1" x14ac:dyDescent="0.25">
      <c r="A26" t="s">
        <v>79</v>
      </c>
    </row>
    <row r="27" spans="1:1" x14ac:dyDescent="0.25">
      <c r="A27" t="s">
        <v>80</v>
      </c>
    </row>
    <row r="28" spans="1:1" x14ac:dyDescent="0.25">
      <c r="A28" t="s">
        <v>81</v>
      </c>
    </row>
    <row r="30" spans="1:1" x14ac:dyDescent="0.25">
      <c r="A30" t="s">
        <v>431</v>
      </c>
    </row>
    <row r="31" spans="1:1" x14ac:dyDescent="0.25">
      <c r="A31" t="s">
        <v>83</v>
      </c>
    </row>
    <row r="32" spans="1:1" x14ac:dyDescent="0.25">
      <c r="A32" t="e">
        <f>- Лучшая в мире тяжелая кавалерия в больших количествах и очень хорошая средняя конница.</f>
        <v>#NAME?</v>
      </c>
    </row>
    <row r="33" spans="1:1" x14ac:dyDescent="0.25">
      <c r="A33" t="s">
        <v>84</v>
      </c>
    </row>
    <row r="34" spans="1:1" x14ac:dyDescent="0.25">
      <c r="A34" t="e">
        <f>- очень хорошая артиллерия.</f>
        <v>#NAME?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t="s">
        <v>92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95</v>
      </c>
    </row>
    <row r="46" spans="1:1" x14ac:dyDescent="0.25">
      <c r="A46" t="s">
        <v>96</v>
      </c>
    </row>
    <row r="47" spans="1:1" x14ac:dyDescent="0.25">
      <c r="A47" t="s">
        <v>97</v>
      </c>
    </row>
    <row r="48" spans="1:1" x14ac:dyDescent="0.25">
      <c r="A48" t="s">
        <v>98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102</v>
      </c>
    </row>
    <row r="53" spans="1:1" x14ac:dyDescent="0.25">
      <c r="A53" t="s">
        <v>103</v>
      </c>
    </row>
    <row r="54" spans="1:1" x14ac:dyDescent="0.25">
      <c r="A54" t="s">
        <v>104</v>
      </c>
    </row>
    <row r="55" spans="1:1" x14ac:dyDescent="0.25">
      <c r="A55" t="s">
        <v>105</v>
      </c>
    </row>
    <row r="56" spans="1:1" x14ac:dyDescent="0.25">
      <c r="A56" t="s">
        <v>106</v>
      </c>
    </row>
    <row r="57" spans="1:1" x14ac:dyDescent="0.25">
      <c r="A57" t="s">
        <v>107</v>
      </c>
    </row>
    <row r="58" spans="1:1" x14ac:dyDescent="0.25">
      <c r="A58" t="s">
        <v>108</v>
      </c>
    </row>
    <row r="59" spans="1:1" x14ac:dyDescent="0.25">
      <c r="A59" t="s">
        <v>109</v>
      </c>
    </row>
    <row r="60" spans="1:1" x14ac:dyDescent="0.25">
      <c r="A60" t="s">
        <v>110</v>
      </c>
    </row>
    <row r="61" spans="1:1" x14ac:dyDescent="0.25">
      <c r="A61" t="s">
        <v>111</v>
      </c>
    </row>
    <row r="62" spans="1:1" x14ac:dyDescent="0.25">
      <c r="A62" t="s">
        <v>112</v>
      </c>
    </row>
    <row r="63" spans="1:1" x14ac:dyDescent="0.25">
      <c r="A63" t="s">
        <v>113</v>
      </c>
    </row>
    <row r="64" spans="1:1" x14ac:dyDescent="0.25">
      <c r="A64" t="s">
        <v>114</v>
      </c>
    </row>
    <row r="65" spans="1:1" x14ac:dyDescent="0.25">
      <c r="A65" t="s">
        <v>115</v>
      </c>
    </row>
    <row r="66" spans="1:1" x14ac:dyDescent="0.25">
      <c r="A66" t="s">
        <v>116</v>
      </c>
    </row>
    <row r="67" spans="1:1" x14ac:dyDescent="0.25">
      <c r="A67" t="s">
        <v>117</v>
      </c>
    </row>
    <row r="68" spans="1:1" x14ac:dyDescent="0.25">
      <c r="A68" t="s">
        <v>118</v>
      </c>
    </row>
    <row r="69" spans="1:1" x14ac:dyDescent="0.25">
      <c r="A69" t="s">
        <v>119</v>
      </c>
    </row>
    <row r="70" spans="1:1" x14ac:dyDescent="0.25">
      <c r="A70" t="s">
        <v>120</v>
      </c>
    </row>
    <row r="71" spans="1:1" x14ac:dyDescent="0.25">
      <c r="A71" t="s">
        <v>121</v>
      </c>
    </row>
    <row r="72" spans="1:1" x14ac:dyDescent="0.25">
      <c r="A72" t="s">
        <v>122</v>
      </c>
    </row>
    <row r="73" spans="1:1" x14ac:dyDescent="0.25">
      <c r="A73" t="s">
        <v>123</v>
      </c>
    </row>
    <row r="74" spans="1:1" x14ac:dyDescent="0.25">
      <c r="A74" t="s">
        <v>124</v>
      </c>
    </row>
    <row r="75" spans="1:1" x14ac:dyDescent="0.25">
      <c r="A75" t="s">
        <v>535</v>
      </c>
    </row>
    <row r="76" spans="1:1" x14ac:dyDescent="0.25">
      <c r="A76" t="s">
        <v>125</v>
      </c>
    </row>
    <row r="77" spans="1:1" x14ac:dyDescent="0.25">
      <c r="A77" t="s">
        <v>432</v>
      </c>
    </row>
    <row r="78" spans="1:1" x14ac:dyDescent="0.25">
      <c r="A78" t="s">
        <v>433</v>
      </c>
    </row>
    <row r="79" spans="1:1" x14ac:dyDescent="0.25">
      <c r="A79" t="s">
        <v>126</v>
      </c>
    </row>
    <row r="80" spans="1:1" x14ac:dyDescent="0.25">
      <c r="A80" t="s">
        <v>434</v>
      </c>
    </row>
    <row r="81" spans="1:1" x14ac:dyDescent="0.25">
      <c r="A81" t="s">
        <v>127</v>
      </c>
    </row>
    <row r="83" spans="1:1" x14ac:dyDescent="0.25">
      <c r="A83" t="s">
        <v>128</v>
      </c>
    </row>
    <row r="84" spans="1:1" x14ac:dyDescent="0.25">
      <c r="A84" t="s">
        <v>83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e">
        <f>- мушкеты и гранаты.</f>
        <v>#NAME?</v>
      </c>
    </row>
    <row r="88" spans="1:1" x14ac:dyDescent="0.25">
      <c r="A88" t="s">
        <v>139</v>
      </c>
    </row>
    <row r="89" spans="1:1" x14ac:dyDescent="0.25">
      <c r="A89" t="s">
        <v>87</v>
      </c>
    </row>
    <row r="90" spans="1:1" x14ac:dyDescent="0.25">
      <c r="A90" t="s">
        <v>131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90</v>
      </c>
    </row>
    <row r="94" spans="1:1" x14ac:dyDescent="0.25">
      <c r="A94" t="s">
        <v>142</v>
      </c>
    </row>
    <row r="95" spans="1:1" x14ac:dyDescent="0.25">
      <c r="A95" t="s">
        <v>143</v>
      </c>
    </row>
    <row r="96" spans="1:1" x14ac:dyDescent="0.25">
      <c r="A96" t="s">
        <v>94</v>
      </c>
    </row>
    <row r="97" spans="1:1" x14ac:dyDescent="0.25">
      <c r="A97" t="s">
        <v>144</v>
      </c>
    </row>
    <row r="98" spans="1:1" x14ac:dyDescent="0.25">
      <c r="A98" t="s">
        <v>536</v>
      </c>
    </row>
    <row r="99" spans="1:1" x14ac:dyDescent="0.25">
      <c r="A99" t="s">
        <v>537</v>
      </c>
    </row>
    <row r="100" spans="1:1" x14ac:dyDescent="0.25">
      <c r="A100" t="s">
        <v>145</v>
      </c>
    </row>
    <row r="101" spans="1:1" x14ac:dyDescent="0.25">
      <c r="A101" t="s">
        <v>97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100</v>
      </c>
    </row>
    <row r="106" spans="1:1" x14ac:dyDescent="0.25">
      <c r="A106" t="s">
        <v>149</v>
      </c>
    </row>
    <row r="107" spans="1:1" x14ac:dyDescent="0.25">
      <c r="A107" t="s">
        <v>150</v>
      </c>
    </row>
    <row r="108" spans="1:1" x14ac:dyDescent="0.25">
      <c r="A108" t="s">
        <v>103</v>
      </c>
    </row>
    <row r="109" spans="1:1" x14ac:dyDescent="0.25">
      <c r="A109" t="e">
        <f>----- там наемники</f>
        <v>#NAME?</v>
      </c>
    </row>
    <row r="110" spans="1:1" x14ac:dyDescent="0.25">
      <c r="A110" t="s">
        <v>106</v>
      </c>
    </row>
    <row r="111" spans="1:1" x14ac:dyDescent="0.25">
      <c r="A111" t="s">
        <v>151</v>
      </c>
    </row>
    <row r="112" spans="1:1" x14ac:dyDescent="0.25">
      <c r="A112" t="s">
        <v>152</v>
      </c>
    </row>
    <row r="113" spans="1:1" x14ac:dyDescent="0.25">
      <c r="A113" t="s">
        <v>115</v>
      </c>
    </row>
    <row r="114" spans="1:1" x14ac:dyDescent="0.25">
      <c r="A114" t="s">
        <v>153</v>
      </c>
    </row>
    <row r="115" spans="1:1" x14ac:dyDescent="0.25">
      <c r="A115" t="s">
        <v>154</v>
      </c>
    </row>
    <row r="116" spans="1:1" x14ac:dyDescent="0.25">
      <c r="A116" t="s">
        <v>155</v>
      </c>
    </row>
    <row r="117" spans="1:1" x14ac:dyDescent="0.25">
      <c r="A117" t="s">
        <v>156</v>
      </c>
    </row>
    <row r="118" spans="1:1" x14ac:dyDescent="0.25">
      <c r="A118" t="s">
        <v>119</v>
      </c>
    </row>
    <row r="119" spans="1:1" x14ac:dyDescent="0.25">
      <c r="A119" t="s">
        <v>157</v>
      </c>
    </row>
    <row r="120" spans="1:1" x14ac:dyDescent="0.25">
      <c r="A120" t="s">
        <v>158</v>
      </c>
    </row>
    <row r="121" spans="1:1" x14ac:dyDescent="0.25">
      <c r="A121" t="s">
        <v>159</v>
      </c>
    </row>
    <row r="122" spans="1:1" x14ac:dyDescent="0.25">
      <c r="A122" t="e">
        <f>----- там наемники</f>
        <v>#NAME?</v>
      </c>
    </row>
    <row r="123" spans="1:1" x14ac:dyDescent="0.25">
      <c r="A123" t="s">
        <v>124</v>
      </c>
    </row>
    <row r="124" spans="1:1" x14ac:dyDescent="0.25">
      <c r="A124" t="s">
        <v>160</v>
      </c>
    </row>
    <row r="125" spans="1:1" x14ac:dyDescent="0.25">
      <c r="A125" t="s">
        <v>161</v>
      </c>
    </row>
    <row r="126" spans="1:1" x14ac:dyDescent="0.25">
      <c r="A126" t="s">
        <v>162</v>
      </c>
    </row>
    <row r="127" spans="1:1" x14ac:dyDescent="0.25">
      <c r="A127" t="s">
        <v>126</v>
      </c>
    </row>
    <row r="128" spans="1:1" x14ac:dyDescent="0.25">
      <c r="A128" t="s">
        <v>163</v>
      </c>
    </row>
    <row r="129" spans="1:1" x14ac:dyDescent="0.25">
      <c r="A129" t="s">
        <v>165</v>
      </c>
    </row>
    <row r="130" spans="1:1" x14ac:dyDescent="0.25">
      <c r="A130" t="s">
        <v>166</v>
      </c>
    </row>
    <row r="131" spans="1:1" x14ac:dyDescent="0.25">
      <c r="A131" t="s">
        <v>167</v>
      </c>
    </row>
    <row r="132" spans="1:1" x14ac:dyDescent="0.25">
      <c r="A132" t="s">
        <v>127</v>
      </c>
    </row>
    <row r="134" spans="1:1" x14ac:dyDescent="0.25">
      <c r="A134" t="s">
        <v>538</v>
      </c>
    </row>
    <row r="135" spans="1:1" x14ac:dyDescent="0.25">
      <c r="A135" t="s">
        <v>83</v>
      </c>
    </row>
    <row r="136" spans="1:1" x14ac:dyDescent="0.25">
      <c r="A136" t="s">
        <v>168</v>
      </c>
    </row>
    <row r="137" spans="1:1" x14ac:dyDescent="0.25">
      <c r="A137" t="s">
        <v>87</v>
      </c>
    </row>
    <row r="138" spans="1:1" x14ac:dyDescent="0.25">
      <c r="A138" t="s">
        <v>131</v>
      </c>
    </row>
    <row r="139" spans="1:1" x14ac:dyDescent="0.25">
      <c r="A139" t="s">
        <v>169</v>
      </c>
    </row>
    <row r="140" spans="1:1" x14ac:dyDescent="0.25">
      <c r="A140" t="s">
        <v>90</v>
      </c>
    </row>
    <row r="141" spans="1:1" x14ac:dyDescent="0.25">
      <c r="A141" t="s">
        <v>170</v>
      </c>
    </row>
    <row r="142" spans="1:1" x14ac:dyDescent="0.25">
      <c r="A142" t="s">
        <v>94</v>
      </c>
    </row>
    <row r="143" spans="1:1" x14ac:dyDescent="0.25">
      <c r="A143" t="s">
        <v>171</v>
      </c>
    </row>
    <row r="144" spans="1:1" x14ac:dyDescent="0.25">
      <c r="A144" t="s">
        <v>172</v>
      </c>
    </row>
    <row r="145" spans="1:1" x14ac:dyDescent="0.25">
      <c r="A145" t="s">
        <v>97</v>
      </c>
    </row>
    <row r="146" spans="1:1" x14ac:dyDescent="0.25">
      <c r="A146" t="s">
        <v>173</v>
      </c>
    </row>
    <row r="147" spans="1:1" x14ac:dyDescent="0.25">
      <c r="A147" t="s">
        <v>174</v>
      </c>
    </row>
    <row r="148" spans="1:1" x14ac:dyDescent="0.25">
      <c r="A148" t="s">
        <v>100</v>
      </c>
    </row>
    <row r="149" spans="1:1" x14ac:dyDescent="0.25">
      <c r="A149" t="e">
        <f>-----наемники</f>
        <v>#NAME?</v>
      </c>
    </row>
    <row r="150" spans="1:1" x14ac:dyDescent="0.25">
      <c r="A150" t="s">
        <v>103</v>
      </c>
    </row>
    <row r="151" spans="1:1" x14ac:dyDescent="0.25">
      <c r="A151" t="e">
        <f>-----наемники</f>
        <v>#NAME?</v>
      </c>
    </row>
    <row r="152" spans="1:1" x14ac:dyDescent="0.25">
      <c r="A152" t="s">
        <v>106</v>
      </c>
    </row>
    <row r="153" spans="1:1" x14ac:dyDescent="0.25">
      <c r="A153" t="e">
        <f>-----наемники</f>
        <v>#NAME?</v>
      </c>
    </row>
    <row r="154" spans="1:1" x14ac:dyDescent="0.25">
      <c r="A154" t="s">
        <v>115</v>
      </c>
    </row>
    <row r="155" spans="1:1" x14ac:dyDescent="0.25">
      <c r="A155" t="s">
        <v>175</v>
      </c>
    </row>
    <row r="156" spans="1:1" x14ac:dyDescent="0.25">
      <c r="A156" t="s">
        <v>176</v>
      </c>
    </row>
    <row r="157" spans="1:1" x14ac:dyDescent="0.25">
      <c r="A157" t="s">
        <v>119</v>
      </c>
    </row>
    <row r="158" spans="1:1" x14ac:dyDescent="0.25">
      <c r="A158" t="e">
        <f>-----наемники</f>
        <v>#NAME?</v>
      </c>
    </row>
    <row r="159" spans="1:1" x14ac:dyDescent="0.25">
      <c r="A159" t="s">
        <v>159</v>
      </c>
    </row>
    <row r="160" spans="1:1" x14ac:dyDescent="0.25">
      <c r="A160" t="e">
        <f>-----наемники</f>
        <v>#NAME?</v>
      </c>
    </row>
    <row r="161" spans="1:1" x14ac:dyDescent="0.25">
      <c r="A161" t="s">
        <v>124</v>
      </c>
    </row>
    <row r="162" spans="1:1" x14ac:dyDescent="0.25">
      <c r="A162" t="s">
        <v>177</v>
      </c>
    </row>
    <row r="163" spans="1:1" x14ac:dyDescent="0.25">
      <c r="A163" t="s">
        <v>178</v>
      </c>
    </row>
    <row r="164" spans="1:1" x14ac:dyDescent="0.25">
      <c r="A164" t="s">
        <v>126</v>
      </c>
    </row>
    <row r="165" spans="1:1" x14ac:dyDescent="0.25">
      <c r="A165" t="e">
        <f>-----наверное нет</f>
        <v>#NAME?</v>
      </c>
    </row>
    <row r="166" spans="1:1" x14ac:dyDescent="0.25">
      <c r="A166" t="s">
        <v>127</v>
      </c>
    </row>
    <row r="168" spans="1:1" x14ac:dyDescent="0.25">
      <c r="A168" t="s">
        <v>180</v>
      </c>
    </row>
    <row r="169" spans="1:1" x14ac:dyDescent="0.25">
      <c r="A169" t="s">
        <v>83</v>
      </c>
    </row>
    <row r="170" spans="1:1" x14ac:dyDescent="0.25">
      <c r="A170" t="e">
        <f>- Лучшая в мире пехотная мораль</f>
        <v>#NAME?</v>
      </c>
    </row>
    <row r="171" spans="1:1" x14ac:dyDescent="0.25">
      <c r="A171" t="e">
        <f>- отличная атака</f>
        <v>#NAME?</v>
      </c>
    </row>
    <row r="172" spans="1:1" x14ac:dyDescent="0.25">
      <c r="A172" t="e">
        <f>- повышенный размер отрядов рукопашной пехоты</f>
        <v>#NAME?</v>
      </c>
    </row>
    <row r="173" spans="1:1" x14ac:dyDescent="0.25">
      <c r="A173" t="s">
        <v>181</v>
      </c>
    </row>
    <row r="174" spans="1:1" x14ac:dyDescent="0.25">
      <c r="A174" t="s">
        <v>182</v>
      </c>
    </row>
    <row r="175" spans="1:1" x14ac:dyDescent="0.25">
      <c r="A175" t="s">
        <v>183</v>
      </c>
    </row>
    <row r="176" spans="1:1" x14ac:dyDescent="0.25">
      <c r="A176" t="s">
        <v>184</v>
      </c>
    </row>
    <row r="177" spans="1:1" x14ac:dyDescent="0.25">
      <c r="A177" t="s">
        <v>87</v>
      </c>
    </row>
    <row r="178" spans="1:1" x14ac:dyDescent="0.25">
      <c r="A178" t="s">
        <v>131</v>
      </c>
    </row>
    <row r="179" spans="1:1" x14ac:dyDescent="0.25">
      <c r="A179" t="s">
        <v>185</v>
      </c>
    </row>
    <row r="180" spans="1:1" x14ac:dyDescent="0.25">
      <c r="A180" t="s">
        <v>90</v>
      </c>
    </row>
    <row r="181" spans="1:1" x14ac:dyDescent="0.25">
      <c r="A181" t="s">
        <v>186</v>
      </c>
    </row>
    <row r="182" spans="1:1" x14ac:dyDescent="0.25">
      <c r="A182" t="s">
        <v>187</v>
      </c>
    </row>
    <row r="183" spans="1:1" x14ac:dyDescent="0.25">
      <c r="A183" t="s">
        <v>188</v>
      </c>
    </row>
    <row r="184" spans="1:1" x14ac:dyDescent="0.25">
      <c r="A184" t="s">
        <v>189</v>
      </c>
    </row>
    <row r="185" spans="1:1" x14ac:dyDescent="0.25">
      <c r="A185" t="s">
        <v>94</v>
      </c>
    </row>
    <row r="186" spans="1:1" x14ac:dyDescent="0.25">
      <c r="A186" t="s">
        <v>190</v>
      </c>
    </row>
    <row r="187" spans="1:1" x14ac:dyDescent="0.25">
      <c r="A187" t="s">
        <v>191</v>
      </c>
    </row>
    <row r="188" spans="1:1" x14ac:dyDescent="0.25">
      <c r="A188" t="s">
        <v>192</v>
      </c>
    </row>
    <row r="189" spans="1:1" x14ac:dyDescent="0.25">
      <c r="A189" t="s">
        <v>193</v>
      </c>
    </row>
    <row r="190" spans="1:1" x14ac:dyDescent="0.25">
      <c r="A190" t="s">
        <v>194</v>
      </c>
    </row>
    <row r="191" spans="1:1" x14ac:dyDescent="0.25">
      <c r="A191" t="s">
        <v>195</v>
      </c>
    </row>
    <row r="192" spans="1:1" x14ac:dyDescent="0.25">
      <c r="A192" t="s">
        <v>196</v>
      </c>
    </row>
    <row r="193" spans="1:1" x14ac:dyDescent="0.25">
      <c r="A193" t="s">
        <v>197</v>
      </c>
    </row>
    <row r="194" spans="1:1" x14ac:dyDescent="0.25">
      <c r="A194" t="s">
        <v>97</v>
      </c>
    </row>
    <row r="195" spans="1:1" x14ac:dyDescent="0.25">
      <c r="A195" t="s">
        <v>198</v>
      </c>
    </row>
    <row r="196" spans="1:1" x14ac:dyDescent="0.25">
      <c r="A196" t="s">
        <v>199</v>
      </c>
    </row>
    <row r="197" spans="1:1" x14ac:dyDescent="0.25">
      <c r="A197" t="s">
        <v>200</v>
      </c>
    </row>
    <row r="198" spans="1:1" x14ac:dyDescent="0.25">
      <c r="A198" t="s">
        <v>201</v>
      </c>
    </row>
    <row r="199" spans="1:1" x14ac:dyDescent="0.25">
      <c r="A199" t="s">
        <v>202</v>
      </c>
    </row>
    <row r="200" spans="1:1" x14ac:dyDescent="0.25">
      <c r="A200" t="s">
        <v>203</v>
      </c>
    </row>
    <row r="201" spans="1:1" x14ac:dyDescent="0.25">
      <c r="A201" t="s">
        <v>204</v>
      </c>
    </row>
    <row r="202" spans="1:1" x14ac:dyDescent="0.25">
      <c r="A202" t="s">
        <v>205</v>
      </c>
    </row>
    <row r="203" spans="1:1" x14ac:dyDescent="0.25">
      <c r="A203" t="s">
        <v>539</v>
      </c>
    </row>
    <row r="204" spans="1:1" x14ac:dyDescent="0.25">
      <c r="A204" t="s">
        <v>540</v>
      </c>
    </row>
    <row r="205" spans="1:1" x14ac:dyDescent="0.25">
      <c r="A205" t="s">
        <v>100</v>
      </c>
    </row>
    <row r="206" spans="1:1" x14ac:dyDescent="0.25">
      <c r="A206" t="e">
        <f>-----наемники</f>
        <v>#NAME?</v>
      </c>
    </row>
    <row r="207" spans="1:1" x14ac:dyDescent="0.25">
      <c r="A207" t="s">
        <v>103</v>
      </c>
    </row>
    <row r="208" spans="1:1" x14ac:dyDescent="0.25">
      <c r="A208" t="e">
        <f>-----наемники</f>
        <v>#NAME?</v>
      </c>
    </row>
    <row r="209" spans="1:1" x14ac:dyDescent="0.25">
      <c r="A209" t="s">
        <v>115</v>
      </c>
    </row>
    <row r="210" spans="1:1" x14ac:dyDescent="0.25">
      <c r="A210" t="s">
        <v>206</v>
      </c>
    </row>
    <row r="211" spans="1:1" x14ac:dyDescent="0.25">
      <c r="A211" t="s">
        <v>119</v>
      </c>
    </row>
    <row r="212" spans="1:1" x14ac:dyDescent="0.25">
      <c r="A212" t="e">
        <f>-----нет</f>
        <v>#NAME?</v>
      </c>
    </row>
    <row r="213" spans="1:1" x14ac:dyDescent="0.25">
      <c r="A213" t="s">
        <v>159</v>
      </c>
    </row>
    <row r="214" spans="1:1" x14ac:dyDescent="0.25">
      <c r="A214" t="e">
        <f>-----наемники</f>
        <v>#NAME?</v>
      </c>
    </row>
    <row r="215" spans="1:1" x14ac:dyDescent="0.25">
      <c r="A215" t="s">
        <v>124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126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127</v>
      </c>
    </row>
    <row r="223" spans="1:1" x14ac:dyDescent="0.25">
      <c r="A223" t="s">
        <v>541</v>
      </c>
    </row>
    <row r="224" spans="1:1" x14ac:dyDescent="0.25">
      <c r="A224" t="s">
        <v>83</v>
      </c>
    </row>
    <row r="225" spans="1:1" x14ac:dyDescent="0.25">
      <c r="A225" t="e">
        <f>- Фишка - хорошая и быстрая тяжелая конница.</f>
        <v>#NAME?</v>
      </c>
    </row>
    <row r="226" spans="1:1" x14ac:dyDescent="0.25">
      <c r="A226" t="s">
        <v>87</v>
      </c>
    </row>
    <row r="227" spans="1:1" x14ac:dyDescent="0.25">
      <c r="A227" t="s">
        <v>131</v>
      </c>
    </row>
    <row r="229" spans="1:1" x14ac:dyDescent="0.25">
      <c r="A229" t="s">
        <v>90</v>
      </c>
    </row>
    <row r="231" spans="1:1" x14ac:dyDescent="0.25">
      <c r="A231" t="s">
        <v>94</v>
      </c>
    </row>
    <row r="234" spans="1:1" x14ac:dyDescent="0.25">
      <c r="A234" t="s">
        <v>97</v>
      </c>
    </row>
    <row r="236" spans="1:1" x14ac:dyDescent="0.25">
      <c r="A236" t="s">
        <v>100</v>
      </c>
    </row>
    <row r="238" spans="1:1" x14ac:dyDescent="0.25">
      <c r="A238" t="s">
        <v>103</v>
      </c>
    </row>
    <row r="240" spans="1:1" x14ac:dyDescent="0.25">
      <c r="A240" t="s">
        <v>106</v>
      </c>
    </row>
    <row r="242" spans="1:1" x14ac:dyDescent="0.25">
      <c r="A242" t="s">
        <v>115</v>
      </c>
    </row>
    <row r="243" spans="1:1" x14ac:dyDescent="0.25">
      <c r="A243" t="s">
        <v>219</v>
      </c>
    </row>
    <row r="244" spans="1:1" x14ac:dyDescent="0.25">
      <c r="A244" t="s">
        <v>220</v>
      </c>
    </row>
    <row r="245" spans="1:1" x14ac:dyDescent="0.25">
      <c r="A245" t="s">
        <v>119</v>
      </c>
    </row>
    <row r="247" spans="1:1" x14ac:dyDescent="0.25">
      <c r="A247" t="s">
        <v>159</v>
      </c>
    </row>
    <row r="249" spans="1:1" x14ac:dyDescent="0.25">
      <c r="A249" t="s">
        <v>124</v>
      </c>
    </row>
    <row r="251" spans="1:1" x14ac:dyDescent="0.25">
      <c r="A251" t="s">
        <v>126</v>
      </c>
    </row>
    <row r="252" spans="1:1" x14ac:dyDescent="0.25">
      <c r="A252" t="s">
        <v>542</v>
      </c>
    </row>
    <row r="253" spans="1:1" x14ac:dyDescent="0.25">
      <c r="A253" t="s">
        <v>221</v>
      </c>
    </row>
    <row r="254" spans="1:1" x14ac:dyDescent="0.25">
      <c r="A254" t="s">
        <v>127</v>
      </c>
    </row>
    <row r="256" spans="1:1" x14ac:dyDescent="0.25">
      <c r="A256" t="s">
        <v>222</v>
      </c>
    </row>
    <row r="257" spans="1:1" x14ac:dyDescent="0.25">
      <c r="A257" t="s">
        <v>83</v>
      </c>
    </row>
    <row r="258" spans="1:1" x14ac:dyDescent="0.25">
      <c r="A258" t="s">
        <v>224</v>
      </c>
    </row>
    <row r="259" spans="1:1" x14ac:dyDescent="0.25">
      <c r="A259" t="e">
        <f>- очень очень очень много конницы</f>
        <v>#NAME?</v>
      </c>
    </row>
    <row r="260" spans="1:1" x14ac:dyDescent="0.25">
      <c r="A260" t="e">
        <f>- очень очень очень много легкой пехоты.</f>
        <v>#NAME?</v>
      </c>
    </row>
    <row r="261" spans="1:1" x14ac:dyDescent="0.25">
      <c r="A261" t="s">
        <v>225</v>
      </c>
    </row>
    <row r="262" spans="1:1" x14ac:dyDescent="0.25">
      <c r="A262" t="e">
        <f>- очень хорошая и развитая артиллерия</f>
        <v>#NAME?</v>
      </c>
    </row>
    <row r="263" spans="1:1" x14ac:dyDescent="0.25">
      <c r="A263" t="s">
        <v>226</v>
      </c>
    </row>
    <row r="264" spans="1:1" x14ac:dyDescent="0.25">
      <c r="A264" t="s">
        <v>87</v>
      </c>
    </row>
    <row r="265" spans="1:1" x14ac:dyDescent="0.25">
      <c r="A265" t="s">
        <v>131</v>
      </c>
    </row>
    <row r="266" spans="1:1" x14ac:dyDescent="0.25">
      <c r="A266" t="s">
        <v>227</v>
      </c>
    </row>
    <row r="267" spans="1:1" x14ac:dyDescent="0.25">
      <c r="A267" t="s">
        <v>228</v>
      </c>
    </row>
    <row r="268" spans="1:1" x14ac:dyDescent="0.25">
      <c r="A268" t="s">
        <v>90</v>
      </c>
    </row>
    <row r="269" spans="1:1" x14ac:dyDescent="0.25">
      <c r="A269" t="s">
        <v>229</v>
      </c>
    </row>
    <row r="270" spans="1:1" x14ac:dyDescent="0.25">
      <c r="A270" t="s">
        <v>230</v>
      </c>
    </row>
    <row r="271" spans="1:1" x14ac:dyDescent="0.25">
      <c r="A271" t="s">
        <v>94</v>
      </c>
    </row>
    <row r="272" spans="1:1" x14ac:dyDescent="0.25">
      <c r="A272" t="s">
        <v>231</v>
      </c>
    </row>
    <row r="273" spans="1:1" x14ac:dyDescent="0.25">
      <c r="A273" t="s">
        <v>232</v>
      </c>
    </row>
    <row r="274" spans="1:1" x14ac:dyDescent="0.25">
      <c r="A274" t="s">
        <v>97</v>
      </c>
    </row>
    <row r="275" spans="1:1" x14ac:dyDescent="0.25">
      <c r="A275" t="s">
        <v>233</v>
      </c>
    </row>
    <row r="276" spans="1:1" x14ac:dyDescent="0.25">
      <c r="A276" t="s">
        <v>234</v>
      </c>
    </row>
    <row r="277" spans="1:1" x14ac:dyDescent="0.25">
      <c r="A277" t="s">
        <v>235</v>
      </c>
    </row>
    <row r="278" spans="1:1" x14ac:dyDescent="0.25">
      <c r="A278" t="s">
        <v>236</v>
      </c>
    </row>
    <row r="279" spans="1:1" x14ac:dyDescent="0.25">
      <c r="A279" t="s">
        <v>100</v>
      </c>
    </row>
    <row r="280" spans="1:1" x14ac:dyDescent="0.25">
      <c r="A280" t="s">
        <v>237</v>
      </c>
    </row>
    <row r="281" spans="1:1" x14ac:dyDescent="0.25">
      <c r="A281" t="s">
        <v>238</v>
      </c>
    </row>
    <row r="282" spans="1:1" x14ac:dyDescent="0.25">
      <c r="A282" t="s">
        <v>103</v>
      </c>
    </row>
    <row r="283" spans="1:1" x14ac:dyDescent="0.25">
      <c r="A283" t="s">
        <v>239</v>
      </c>
    </row>
    <row r="284" spans="1:1" x14ac:dyDescent="0.25">
      <c r="A284" t="s">
        <v>240</v>
      </c>
    </row>
    <row r="285" spans="1:1" x14ac:dyDescent="0.25">
      <c r="A285" t="s">
        <v>106</v>
      </c>
    </row>
    <row r="286" spans="1:1" x14ac:dyDescent="0.25">
      <c r="A286" t="s">
        <v>241</v>
      </c>
    </row>
    <row r="287" spans="1:1" x14ac:dyDescent="0.25">
      <c r="A287" t="s">
        <v>242</v>
      </c>
    </row>
    <row r="288" spans="1:1" x14ac:dyDescent="0.25">
      <c r="A288" t="s">
        <v>115</v>
      </c>
    </row>
    <row r="289" spans="1:1" x14ac:dyDescent="0.25">
      <c r="A289" t="s">
        <v>243</v>
      </c>
    </row>
    <row r="290" spans="1:1" x14ac:dyDescent="0.25">
      <c r="A290" t="s">
        <v>119</v>
      </c>
    </row>
    <row r="291" spans="1:1" x14ac:dyDescent="0.25">
      <c r="A291" t="s">
        <v>244</v>
      </c>
    </row>
    <row r="292" spans="1:1" x14ac:dyDescent="0.25">
      <c r="A292" t="s">
        <v>245</v>
      </c>
    </row>
    <row r="293" spans="1:1" x14ac:dyDescent="0.25">
      <c r="A293" t="s">
        <v>159</v>
      </c>
    </row>
    <row r="294" spans="1:1" x14ac:dyDescent="0.25">
      <c r="A294" t="s">
        <v>246</v>
      </c>
    </row>
    <row r="295" spans="1:1" x14ac:dyDescent="0.25">
      <c r="A295" t="s">
        <v>247</v>
      </c>
    </row>
    <row r="296" spans="1:1" x14ac:dyDescent="0.25">
      <c r="A296" t="s">
        <v>248</v>
      </c>
    </row>
    <row r="297" spans="1:1" x14ac:dyDescent="0.25">
      <c r="A297" t="s">
        <v>249</v>
      </c>
    </row>
    <row r="298" spans="1:1" x14ac:dyDescent="0.25">
      <c r="A298" t="s">
        <v>250</v>
      </c>
    </row>
    <row r="299" spans="1:1" x14ac:dyDescent="0.25">
      <c r="A299" t="s">
        <v>251</v>
      </c>
    </row>
    <row r="300" spans="1:1" x14ac:dyDescent="0.25">
      <c r="A300" t="s">
        <v>252</v>
      </c>
    </row>
    <row r="301" spans="1:1" x14ac:dyDescent="0.25">
      <c r="A301" t="s">
        <v>253</v>
      </c>
    </row>
    <row r="302" spans="1:1" x14ac:dyDescent="0.25">
      <c r="A302" t="s">
        <v>254</v>
      </c>
    </row>
    <row r="303" spans="1:1" x14ac:dyDescent="0.25">
      <c r="A303" t="s">
        <v>255</v>
      </c>
    </row>
    <row r="304" spans="1:1" x14ac:dyDescent="0.25">
      <c r="A304" t="s">
        <v>126</v>
      </c>
    </row>
    <row r="305" spans="1:1" x14ac:dyDescent="0.25">
      <c r="A305" t="s">
        <v>256</v>
      </c>
    </row>
    <row r="306" spans="1:1" x14ac:dyDescent="0.25">
      <c r="A306" t="s">
        <v>127</v>
      </c>
    </row>
    <row r="308" spans="1:1" x14ac:dyDescent="0.25">
      <c r="A308" t="s">
        <v>259</v>
      </c>
    </row>
    <row r="309" spans="1:1" x14ac:dyDescent="0.25">
      <c r="A309" t="s">
        <v>83</v>
      </c>
    </row>
    <row r="310" spans="1:1" x14ac:dyDescent="0.25">
      <c r="A310" t="s">
        <v>260</v>
      </c>
    </row>
    <row r="311" spans="1:1" x14ac:dyDescent="0.25">
      <c r="A311" t="s">
        <v>87</v>
      </c>
    </row>
    <row r="312" spans="1:1" x14ac:dyDescent="0.25">
      <c r="A312" t="s">
        <v>131</v>
      </c>
    </row>
    <row r="314" spans="1:1" x14ac:dyDescent="0.25">
      <c r="A314" t="s">
        <v>90</v>
      </c>
    </row>
    <row r="316" spans="1:1" x14ac:dyDescent="0.25">
      <c r="A316" t="s">
        <v>94</v>
      </c>
    </row>
    <row r="319" spans="1:1" x14ac:dyDescent="0.25">
      <c r="A319" t="s">
        <v>97</v>
      </c>
    </row>
    <row r="321" spans="1:1" x14ac:dyDescent="0.25">
      <c r="A321" t="s">
        <v>100</v>
      </c>
    </row>
    <row r="323" spans="1:1" x14ac:dyDescent="0.25">
      <c r="A323" t="s">
        <v>103</v>
      </c>
    </row>
    <row r="325" spans="1:1" x14ac:dyDescent="0.25">
      <c r="A325" t="s">
        <v>106</v>
      </c>
    </row>
    <row r="327" spans="1:1" x14ac:dyDescent="0.25">
      <c r="A327" t="s">
        <v>115</v>
      </c>
    </row>
    <row r="328" spans="1:1" x14ac:dyDescent="0.25">
      <c r="A328" t="s">
        <v>223</v>
      </c>
    </row>
    <row r="329" spans="1:1" x14ac:dyDescent="0.25">
      <c r="A329" t="s">
        <v>119</v>
      </c>
    </row>
    <row r="331" spans="1:1" x14ac:dyDescent="0.25">
      <c r="A331" t="s">
        <v>159</v>
      </c>
    </row>
    <row r="333" spans="1:1" x14ac:dyDescent="0.25">
      <c r="A333" t="s">
        <v>124</v>
      </c>
    </row>
    <row r="335" spans="1:1" x14ac:dyDescent="0.25">
      <c r="A335" t="s">
        <v>126</v>
      </c>
    </row>
    <row r="337" spans="1:1" x14ac:dyDescent="0.25">
      <c r="A337" t="s">
        <v>127</v>
      </c>
    </row>
    <row r="339" spans="1:1" x14ac:dyDescent="0.25">
      <c r="A339" t="s">
        <v>261</v>
      </c>
    </row>
    <row r="340" spans="1:1" x14ac:dyDescent="0.25">
      <c r="A340" t="s">
        <v>83</v>
      </c>
    </row>
    <row r="341" spans="1:1" x14ac:dyDescent="0.25">
      <c r="A341" t="s">
        <v>262</v>
      </c>
    </row>
    <row r="342" spans="1:1" x14ac:dyDescent="0.25">
      <c r="A342" t="s">
        <v>263</v>
      </c>
    </row>
    <row r="343" spans="1:1" x14ac:dyDescent="0.25">
      <c r="A343" t="s">
        <v>264</v>
      </c>
    </row>
    <row r="344" spans="1:1" x14ac:dyDescent="0.25">
      <c r="A344" t="s">
        <v>87</v>
      </c>
    </row>
    <row r="345" spans="1:1" x14ac:dyDescent="0.25">
      <c r="A345" t="s">
        <v>131</v>
      </c>
    </row>
    <row r="346" spans="1:1" x14ac:dyDescent="0.25">
      <c r="A346" t="s">
        <v>265</v>
      </c>
    </row>
    <row r="347" spans="1:1" x14ac:dyDescent="0.25">
      <c r="A347" t="s">
        <v>266</v>
      </c>
    </row>
    <row r="348" spans="1:1" x14ac:dyDescent="0.25">
      <c r="A348" t="s">
        <v>90</v>
      </c>
    </row>
    <row r="349" spans="1:1" x14ac:dyDescent="0.25">
      <c r="A349" t="s">
        <v>267</v>
      </c>
    </row>
    <row r="350" spans="1:1" x14ac:dyDescent="0.25">
      <c r="A350" t="s">
        <v>268</v>
      </c>
    </row>
    <row r="351" spans="1:1" x14ac:dyDescent="0.25">
      <c r="A351" t="s">
        <v>94</v>
      </c>
    </row>
    <row r="352" spans="1:1" x14ac:dyDescent="0.25">
      <c r="A352" t="s">
        <v>269</v>
      </c>
    </row>
    <row r="353" spans="1:1" x14ac:dyDescent="0.25">
      <c r="A353" t="s">
        <v>270</v>
      </c>
    </row>
    <row r="354" spans="1:1" x14ac:dyDescent="0.25">
      <c r="A354" t="s">
        <v>97</v>
      </c>
    </row>
    <row r="355" spans="1:1" x14ac:dyDescent="0.25">
      <c r="A355" t="e">
        <f>---------наемники</f>
        <v>#NAME?</v>
      </c>
    </row>
    <row r="356" spans="1:1" x14ac:dyDescent="0.25">
      <c r="A356" t="s">
        <v>100</v>
      </c>
    </row>
    <row r="357" spans="1:1" x14ac:dyDescent="0.25">
      <c r="A357" t="s">
        <v>271</v>
      </c>
    </row>
    <row r="358" spans="1:1" x14ac:dyDescent="0.25">
      <c r="A358" t="s">
        <v>272</v>
      </c>
    </row>
    <row r="359" spans="1:1" x14ac:dyDescent="0.25">
      <c r="A359" t="s">
        <v>273</v>
      </c>
    </row>
    <row r="360" spans="1:1" x14ac:dyDescent="0.25">
      <c r="A360" t="s">
        <v>274</v>
      </c>
    </row>
    <row r="361" spans="1:1" x14ac:dyDescent="0.25">
      <c r="A361" t="s">
        <v>103</v>
      </c>
    </row>
    <row r="362" spans="1:1" x14ac:dyDescent="0.25">
      <c r="A362" t="s">
        <v>275</v>
      </c>
    </row>
    <row r="363" spans="1:1" x14ac:dyDescent="0.25">
      <c r="A363" t="s">
        <v>276</v>
      </c>
    </row>
    <row r="364" spans="1:1" x14ac:dyDescent="0.25">
      <c r="A364" t="s">
        <v>543</v>
      </c>
    </row>
    <row r="365" spans="1:1" x14ac:dyDescent="0.25">
      <c r="A365" t="s">
        <v>277</v>
      </c>
    </row>
    <row r="366" spans="1:1" x14ac:dyDescent="0.25">
      <c r="A366" t="s">
        <v>278</v>
      </c>
    </row>
    <row r="367" spans="1:1" x14ac:dyDescent="0.25">
      <c r="A367" t="s">
        <v>106</v>
      </c>
    </row>
    <row r="368" spans="1:1" x14ac:dyDescent="0.25">
      <c r="A368" t="s">
        <v>279</v>
      </c>
    </row>
    <row r="369" spans="1:1" x14ac:dyDescent="0.25">
      <c r="A369" t="s">
        <v>115</v>
      </c>
    </row>
    <row r="370" spans="1:1" x14ac:dyDescent="0.25">
      <c r="A370" t="s">
        <v>280</v>
      </c>
    </row>
    <row r="371" spans="1:1" x14ac:dyDescent="0.25">
      <c r="A371" t="s">
        <v>281</v>
      </c>
    </row>
    <row r="372" spans="1:1" x14ac:dyDescent="0.25">
      <c r="A372" t="s">
        <v>119</v>
      </c>
    </row>
    <row r="373" spans="1:1" x14ac:dyDescent="0.25">
      <c r="A373" t="e">
        <f>-------нет</f>
        <v>#NAME?</v>
      </c>
    </row>
    <row r="374" spans="1:1" x14ac:dyDescent="0.25">
      <c r="A374" t="s">
        <v>159</v>
      </c>
    </row>
    <row r="375" spans="1:1" x14ac:dyDescent="0.25">
      <c r="A375" t="e">
        <f>-----уже есть</f>
        <v>#NAME?</v>
      </c>
    </row>
    <row r="376" spans="1:1" x14ac:dyDescent="0.25">
      <c r="A376" t="s">
        <v>124</v>
      </c>
    </row>
    <row r="377" spans="1:1" x14ac:dyDescent="0.25">
      <c r="A377" t="s">
        <v>282</v>
      </c>
    </row>
    <row r="378" spans="1:1" x14ac:dyDescent="0.25">
      <c r="A378" t="s">
        <v>283</v>
      </c>
    </row>
    <row r="379" spans="1:1" x14ac:dyDescent="0.25">
      <c r="A379" t="s">
        <v>126</v>
      </c>
    </row>
    <row r="380" spans="1:1" x14ac:dyDescent="0.25">
      <c r="A380" t="e">
        <f>-----нет</f>
        <v>#NAME?</v>
      </c>
    </row>
    <row r="381" spans="1:1" x14ac:dyDescent="0.25">
      <c r="A381" t="s">
        <v>127</v>
      </c>
    </row>
    <row r="383" spans="1:1" x14ac:dyDescent="0.25">
      <c r="A383" t="s">
        <v>544</v>
      </c>
    </row>
    <row r="384" spans="1:1" x14ac:dyDescent="0.25">
      <c r="A384" t="s">
        <v>83</v>
      </c>
    </row>
    <row r="385" spans="1:1" x14ac:dyDescent="0.25">
      <c r="A385" t="s">
        <v>260</v>
      </c>
    </row>
    <row r="386" spans="1:1" x14ac:dyDescent="0.25">
      <c r="A386" t="s">
        <v>87</v>
      </c>
    </row>
    <row r="387" spans="1:1" x14ac:dyDescent="0.25">
      <c r="A387" t="s">
        <v>131</v>
      </c>
    </row>
    <row r="389" spans="1:1" x14ac:dyDescent="0.25">
      <c r="A389" t="s">
        <v>90</v>
      </c>
    </row>
    <row r="391" spans="1:1" x14ac:dyDescent="0.25">
      <c r="A391" t="s">
        <v>94</v>
      </c>
    </row>
    <row r="394" spans="1:1" x14ac:dyDescent="0.25">
      <c r="A394" t="s">
        <v>97</v>
      </c>
    </row>
    <row r="396" spans="1:1" x14ac:dyDescent="0.25">
      <c r="A396" t="s">
        <v>100</v>
      </c>
    </row>
    <row r="398" spans="1:1" x14ac:dyDescent="0.25">
      <c r="A398" t="s">
        <v>103</v>
      </c>
    </row>
    <row r="400" spans="1:1" x14ac:dyDescent="0.25">
      <c r="A400" t="s">
        <v>106</v>
      </c>
    </row>
    <row r="402" spans="1:1" x14ac:dyDescent="0.25">
      <c r="A402" t="s">
        <v>115</v>
      </c>
    </row>
    <row r="403" spans="1:1" x14ac:dyDescent="0.25">
      <c r="A403" t="s">
        <v>223</v>
      </c>
    </row>
    <row r="404" spans="1:1" x14ac:dyDescent="0.25">
      <c r="A404" t="s">
        <v>119</v>
      </c>
    </row>
    <row r="406" spans="1:1" x14ac:dyDescent="0.25">
      <c r="A406" t="s">
        <v>159</v>
      </c>
    </row>
    <row r="408" spans="1:1" x14ac:dyDescent="0.25">
      <c r="A408" t="s">
        <v>124</v>
      </c>
    </row>
    <row r="410" spans="1:1" x14ac:dyDescent="0.25">
      <c r="A410" t="s">
        <v>126</v>
      </c>
    </row>
    <row r="411" spans="1:1" x14ac:dyDescent="0.25">
      <c r="A411" t="s">
        <v>289</v>
      </c>
    </row>
    <row r="412" spans="1:1" x14ac:dyDescent="0.25">
      <c r="A412" t="s">
        <v>290</v>
      </c>
    </row>
    <row r="413" spans="1:1" x14ac:dyDescent="0.25">
      <c r="A413" t="s">
        <v>127</v>
      </c>
    </row>
    <row r="415" spans="1:1" x14ac:dyDescent="0.25">
      <c r="A415" t="s">
        <v>291</v>
      </c>
    </row>
    <row r="416" spans="1:1" x14ac:dyDescent="0.25">
      <c r="A416" t="s">
        <v>83</v>
      </c>
    </row>
    <row r="417" spans="1:1" x14ac:dyDescent="0.25">
      <c r="A417" t="s">
        <v>292</v>
      </c>
    </row>
    <row r="418" spans="1:1" x14ac:dyDescent="0.25">
      <c r="A418" t="s">
        <v>293</v>
      </c>
    </row>
    <row r="419" spans="1:1" x14ac:dyDescent="0.25">
      <c r="A419" t="s">
        <v>87</v>
      </c>
    </row>
    <row r="420" spans="1:1" x14ac:dyDescent="0.25">
      <c r="A420" t="s">
        <v>131</v>
      </c>
    </row>
    <row r="422" spans="1:1" x14ac:dyDescent="0.25">
      <c r="A422" t="s">
        <v>90</v>
      </c>
    </row>
    <row r="424" spans="1:1" x14ac:dyDescent="0.25">
      <c r="A424" t="s">
        <v>94</v>
      </c>
    </row>
    <row r="427" spans="1:1" x14ac:dyDescent="0.25">
      <c r="A427" t="s">
        <v>97</v>
      </c>
    </row>
    <row r="428" spans="1:1" x14ac:dyDescent="0.25">
      <c r="A428" t="s">
        <v>294</v>
      </c>
    </row>
    <row r="429" spans="1:1" x14ac:dyDescent="0.25">
      <c r="A429" t="s">
        <v>100</v>
      </c>
    </row>
    <row r="430" spans="1:1" x14ac:dyDescent="0.25">
      <c r="A430" t="s">
        <v>295</v>
      </c>
    </row>
    <row r="431" spans="1:1" x14ac:dyDescent="0.25">
      <c r="A431" t="s">
        <v>296</v>
      </c>
    </row>
    <row r="432" spans="1:1" x14ac:dyDescent="0.25">
      <c r="A432" t="s">
        <v>297</v>
      </c>
    </row>
    <row r="433" spans="1:1" x14ac:dyDescent="0.25">
      <c r="A433" t="s">
        <v>298</v>
      </c>
    </row>
    <row r="434" spans="1:1" x14ac:dyDescent="0.25">
      <c r="A434" t="s">
        <v>299</v>
      </c>
    </row>
    <row r="435" spans="1:1" x14ac:dyDescent="0.25">
      <c r="A435" t="s">
        <v>103</v>
      </c>
    </row>
    <row r="436" spans="1:1" x14ac:dyDescent="0.25">
      <c r="A436" t="s">
        <v>300</v>
      </c>
    </row>
    <row r="437" spans="1:1" x14ac:dyDescent="0.25">
      <c r="A437" t="s">
        <v>301</v>
      </c>
    </row>
    <row r="438" spans="1:1" x14ac:dyDescent="0.25">
      <c r="A438" t="s">
        <v>302</v>
      </c>
    </row>
    <row r="439" spans="1:1" x14ac:dyDescent="0.25">
      <c r="A439" t="s">
        <v>106</v>
      </c>
    </row>
    <row r="441" spans="1:1" x14ac:dyDescent="0.25">
      <c r="A441" t="s">
        <v>115</v>
      </c>
    </row>
    <row r="442" spans="1:1" x14ac:dyDescent="0.25">
      <c r="A442" t="s">
        <v>303</v>
      </c>
    </row>
    <row r="443" spans="1:1" x14ac:dyDescent="0.25">
      <c r="A443" t="s">
        <v>304</v>
      </c>
    </row>
    <row r="444" spans="1:1" x14ac:dyDescent="0.25">
      <c r="A444" t="s">
        <v>305</v>
      </c>
    </row>
    <row r="445" spans="1:1" x14ac:dyDescent="0.25">
      <c r="A445" t="s">
        <v>306</v>
      </c>
    </row>
    <row r="446" spans="1:1" x14ac:dyDescent="0.25">
      <c r="A446" t="s">
        <v>307</v>
      </c>
    </row>
    <row r="447" spans="1:1" x14ac:dyDescent="0.25">
      <c r="A447" t="s">
        <v>119</v>
      </c>
    </row>
    <row r="448" spans="1:1" x14ac:dyDescent="0.25">
      <c r="A448" t="e">
        <f>-----нет</f>
        <v>#NAME?</v>
      </c>
    </row>
    <row r="449" spans="1:1" x14ac:dyDescent="0.25">
      <c r="A449" t="s">
        <v>159</v>
      </c>
    </row>
    <row r="450" spans="1:1" x14ac:dyDescent="0.25">
      <c r="A450" t="e">
        <f>-----нет</f>
        <v>#NAME?</v>
      </c>
    </row>
    <row r="451" spans="1:1" x14ac:dyDescent="0.25">
      <c r="A451" t="s">
        <v>247</v>
      </c>
    </row>
    <row r="452" spans="1:1" x14ac:dyDescent="0.25">
      <c r="A452" t="s">
        <v>308</v>
      </c>
    </row>
    <row r="453" spans="1:1" x14ac:dyDescent="0.25">
      <c r="A453" t="s">
        <v>309</v>
      </c>
    </row>
    <row r="454" spans="1:1" x14ac:dyDescent="0.25">
      <c r="A454" t="s">
        <v>124</v>
      </c>
    </row>
    <row r="455" spans="1:1" x14ac:dyDescent="0.25">
      <c r="A455" t="s">
        <v>545</v>
      </c>
    </row>
    <row r="456" spans="1:1" x14ac:dyDescent="0.25">
      <c r="A456" t="s">
        <v>546</v>
      </c>
    </row>
    <row r="457" spans="1:1" x14ac:dyDescent="0.25">
      <c r="A457" t="s">
        <v>126</v>
      </c>
    </row>
    <row r="458" spans="1:1" x14ac:dyDescent="0.25">
      <c r="A458" t="s">
        <v>547</v>
      </c>
    </row>
    <row r="459" spans="1:1" x14ac:dyDescent="0.25">
      <c r="A459" t="s">
        <v>127</v>
      </c>
    </row>
    <row r="461" spans="1:1" x14ac:dyDescent="0.25">
      <c r="A461" t="s">
        <v>548</v>
      </c>
    </row>
    <row r="462" spans="1:1" x14ac:dyDescent="0.25">
      <c r="A462" t="s">
        <v>83</v>
      </c>
    </row>
    <row r="463" spans="1:1" x14ac:dyDescent="0.25">
      <c r="A463" t="s">
        <v>260</v>
      </c>
    </row>
    <row r="464" spans="1:1" x14ac:dyDescent="0.25">
      <c r="A464" t="s">
        <v>87</v>
      </c>
    </row>
    <row r="465" spans="1:1" x14ac:dyDescent="0.25">
      <c r="A465" t="s">
        <v>131</v>
      </c>
    </row>
    <row r="467" spans="1:1" x14ac:dyDescent="0.25">
      <c r="A467" t="s">
        <v>90</v>
      </c>
    </row>
    <row r="469" spans="1:1" x14ac:dyDescent="0.25">
      <c r="A469" t="s">
        <v>94</v>
      </c>
    </row>
    <row r="472" spans="1:1" x14ac:dyDescent="0.25">
      <c r="A472" t="s">
        <v>97</v>
      </c>
    </row>
    <row r="474" spans="1:1" x14ac:dyDescent="0.25">
      <c r="A474" t="s">
        <v>100</v>
      </c>
    </row>
    <row r="476" spans="1:1" x14ac:dyDescent="0.25">
      <c r="A476" t="s">
        <v>103</v>
      </c>
    </row>
    <row r="478" spans="1:1" x14ac:dyDescent="0.25">
      <c r="A478" t="s">
        <v>106</v>
      </c>
    </row>
    <row r="480" spans="1:1" x14ac:dyDescent="0.25">
      <c r="A480" t="s">
        <v>115</v>
      </c>
    </row>
    <row r="481" spans="1:1" x14ac:dyDescent="0.25">
      <c r="A481" t="s">
        <v>223</v>
      </c>
    </row>
    <row r="482" spans="1:1" x14ac:dyDescent="0.25">
      <c r="A482" t="s">
        <v>119</v>
      </c>
    </row>
    <row r="484" spans="1:1" x14ac:dyDescent="0.25">
      <c r="A484" t="s">
        <v>159</v>
      </c>
    </row>
    <row r="486" spans="1:1" x14ac:dyDescent="0.25">
      <c r="A486" t="s">
        <v>124</v>
      </c>
    </row>
    <row r="488" spans="1:1" x14ac:dyDescent="0.25">
      <c r="A488" t="s">
        <v>126</v>
      </c>
    </row>
    <row r="490" spans="1:1" x14ac:dyDescent="0.25">
      <c r="A490" t="s">
        <v>127</v>
      </c>
    </row>
    <row r="492" spans="1:1" x14ac:dyDescent="0.25">
      <c r="A492" t="s">
        <v>310</v>
      </c>
    </row>
    <row r="493" spans="1:1" x14ac:dyDescent="0.25">
      <c r="A493" t="s">
        <v>83</v>
      </c>
    </row>
    <row r="494" spans="1:1" x14ac:dyDescent="0.25">
      <c r="A494" t="s">
        <v>311</v>
      </c>
    </row>
    <row r="495" spans="1:1" x14ac:dyDescent="0.25">
      <c r="A495" t="s">
        <v>312</v>
      </c>
    </row>
    <row r="496" spans="1:1" x14ac:dyDescent="0.25">
      <c r="A496" t="s">
        <v>87</v>
      </c>
    </row>
    <row r="497" spans="1:1" x14ac:dyDescent="0.25">
      <c r="A497" t="s">
        <v>131</v>
      </c>
    </row>
    <row r="498" spans="1:1" x14ac:dyDescent="0.25">
      <c r="A498" t="s">
        <v>313</v>
      </c>
    </row>
    <row r="499" spans="1:1" x14ac:dyDescent="0.25">
      <c r="A499" t="s">
        <v>90</v>
      </c>
    </row>
    <row r="500" spans="1:1" x14ac:dyDescent="0.25">
      <c r="A500" t="s">
        <v>314</v>
      </c>
    </row>
    <row r="501" spans="1:1" x14ac:dyDescent="0.25">
      <c r="A501" t="s">
        <v>94</v>
      </c>
    </row>
    <row r="502" spans="1:1" x14ac:dyDescent="0.25">
      <c r="A502" t="s">
        <v>315</v>
      </c>
    </row>
    <row r="503" spans="1:1" x14ac:dyDescent="0.25">
      <c r="A503" t="s">
        <v>316</v>
      </c>
    </row>
    <row r="504" spans="1:1" x14ac:dyDescent="0.25">
      <c r="A504" t="s">
        <v>317</v>
      </c>
    </row>
    <row r="505" spans="1:1" x14ac:dyDescent="0.25">
      <c r="A505" t="s">
        <v>318</v>
      </c>
    </row>
    <row r="506" spans="1:1" x14ac:dyDescent="0.25">
      <c r="A506" t="s">
        <v>97</v>
      </c>
    </row>
    <row r="507" spans="1:1" x14ac:dyDescent="0.25">
      <c r="A507" t="s">
        <v>319</v>
      </c>
    </row>
    <row r="508" spans="1:1" x14ac:dyDescent="0.25">
      <c r="A508" t="s">
        <v>320</v>
      </c>
    </row>
    <row r="509" spans="1:1" x14ac:dyDescent="0.25">
      <c r="A509" t="s">
        <v>100</v>
      </c>
    </row>
    <row r="510" spans="1:1" x14ac:dyDescent="0.25">
      <c r="A510" t="s">
        <v>549</v>
      </c>
    </row>
    <row r="511" spans="1:1" x14ac:dyDescent="0.25">
      <c r="A511" t="s">
        <v>103</v>
      </c>
    </row>
    <row r="512" spans="1:1" x14ac:dyDescent="0.25">
      <c r="A512" t="s">
        <v>321</v>
      </c>
    </row>
    <row r="513" spans="1:1" x14ac:dyDescent="0.25">
      <c r="A513" t="s">
        <v>322</v>
      </c>
    </row>
    <row r="514" spans="1:1" x14ac:dyDescent="0.25">
      <c r="A514" t="s">
        <v>323</v>
      </c>
    </row>
    <row r="515" spans="1:1" x14ac:dyDescent="0.25">
      <c r="A515" t="s">
        <v>324</v>
      </c>
    </row>
    <row r="516" spans="1:1" x14ac:dyDescent="0.25">
      <c r="A516" t="s">
        <v>106</v>
      </c>
    </row>
    <row r="517" spans="1:1" x14ac:dyDescent="0.25">
      <c r="A517" t="e">
        <f>-------нет</f>
        <v>#NAME?</v>
      </c>
    </row>
    <row r="518" spans="1:1" x14ac:dyDescent="0.25">
      <c r="A518" t="s">
        <v>115</v>
      </c>
    </row>
    <row r="519" spans="1:1" x14ac:dyDescent="0.25">
      <c r="A519" t="s">
        <v>325</v>
      </c>
    </row>
    <row r="520" spans="1:1" x14ac:dyDescent="0.25">
      <c r="A520" t="s">
        <v>326</v>
      </c>
    </row>
    <row r="521" spans="1:1" x14ac:dyDescent="0.25">
      <c r="A521" t="s">
        <v>119</v>
      </c>
    </row>
    <row r="522" spans="1:1" x14ac:dyDescent="0.25">
      <c r="A522" t="s">
        <v>327</v>
      </c>
    </row>
    <row r="523" spans="1:1" x14ac:dyDescent="0.25">
      <c r="A523" t="s">
        <v>159</v>
      </c>
    </row>
    <row r="524" spans="1:1" x14ac:dyDescent="0.25">
      <c r="A524" t="e">
        <f>------выше в ополчении</f>
        <v>#NAME?</v>
      </c>
    </row>
    <row r="525" spans="1:1" x14ac:dyDescent="0.25">
      <c r="A525" t="s">
        <v>124</v>
      </c>
    </row>
    <row r="526" spans="1:1" x14ac:dyDescent="0.25">
      <c r="A526" t="s">
        <v>328</v>
      </c>
    </row>
    <row r="527" spans="1:1" x14ac:dyDescent="0.25">
      <c r="A527" t="s">
        <v>329</v>
      </c>
    </row>
    <row r="528" spans="1:1" x14ac:dyDescent="0.25">
      <c r="A528" t="s">
        <v>330</v>
      </c>
    </row>
    <row r="529" spans="1:1" x14ac:dyDescent="0.25">
      <c r="A529" t="s">
        <v>126</v>
      </c>
    </row>
    <row r="530" spans="1:1" x14ac:dyDescent="0.25">
      <c r="A530" t="s">
        <v>550</v>
      </c>
    </row>
    <row r="531" spans="1:1" x14ac:dyDescent="0.25">
      <c r="A531" t="s">
        <v>551</v>
      </c>
    </row>
    <row r="532" spans="1:1" x14ac:dyDescent="0.25">
      <c r="A532" t="s">
        <v>127</v>
      </c>
    </row>
    <row r="534" spans="1:1" x14ac:dyDescent="0.25">
      <c r="A534" t="s">
        <v>552</v>
      </c>
    </row>
    <row r="535" spans="1:1" x14ac:dyDescent="0.25">
      <c r="A535" t="s">
        <v>83</v>
      </c>
    </row>
    <row r="536" spans="1:1" x14ac:dyDescent="0.25">
      <c r="A536" t="s">
        <v>331</v>
      </c>
    </row>
    <row r="537" spans="1:1" x14ac:dyDescent="0.25">
      <c r="A537" t="s">
        <v>332</v>
      </c>
    </row>
    <row r="538" spans="1:1" x14ac:dyDescent="0.25">
      <c r="A538" t="s">
        <v>87</v>
      </c>
    </row>
    <row r="539" spans="1:1" x14ac:dyDescent="0.25">
      <c r="A539" t="s">
        <v>131</v>
      </c>
    </row>
    <row r="540" spans="1:1" x14ac:dyDescent="0.25">
      <c r="A540" t="s">
        <v>333</v>
      </c>
    </row>
    <row r="541" spans="1:1" x14ac:dyDescent="0.25">
      <c r="A541" t="s">
        <v>334</v>
      </c>
    </row>
    <row r="542" spans="1:1" x14ac:dyDescent="0.25">
      <c r="A542" t="s">
        <v>90</v>
      </c>
    </row>
    <row r="543" spans="1:1" x14ac:dyDescent="0.25">
      <c r="A543" t="e">
        <f>-------наемники</f>
        <v>#NAME?</v>
      </c>
    </row>
    <row r="544" spans="1:1" x14ac:dyDescent="0.25">
      <c r="A544" t="s">
        <v>94</v>
      </c>
    </row>
    <row r="545" spans="1:1" x14ac:dyDescent="0.25">
      <c r="A545" t="s">
        <v>335</v>
      </c>
    </row>
    <row r="546" spans="1:1" x14ac:dyDescent="0.25">
      <c r="A546" t="s">
        <v>336</v>
      </c>
    </row>
    <row r="547" spans="1:1" x14ac:dyDescent="0.25">
      <c r="A547" t="s">
        <v>97</v>
      </c>
    </row>
    <row r="548" spans="1:1" x14ac:dyDescent="0.25">
      <c r="A548" t="s">
        <v>337</v>
      </c>
    </row>
    <row r="549" spans="1:1" x14ac:dyDescent="0.25">
      <c r="A549" t="s">
        <v>338</v>
      </c>
    </row>
    <row r="550" spans="1:1" x14ac:dyDescent="0.25">
      <c r="A550" t="s">
        <v>100</v>
      </c>
    </row>
    <row r="551" spans="1:1" x14ac:dyDescent="0.25">
      <c r="A551" t="e">
        <f>-------наемники</f>
        <v>#NAME?</v>
      </c>
    </row>
    <row r="552" spans="1:1" x14ac:dyDescent="0.25">
      <c r="A552" t="s">
        <v>103</v>
      </c>
    </row>
    <row r="553" spans="1:1" x14ac:dyDescent="0.25">
      <c r="A553" t="s">
        <v>341</v>
      </c>
    </row>
    <row r="554" spans="1:1" x14ac:dyDescent="0.25">
      <c r="A554" t="s">
        <v>342</v>
      </c>
    </row>
    <row r="555" spans="1:1" x14ac:dyDescent="0.25">
      <c r="A555" t="s">
        <v>106</v>
      </c>
    </row>
    <row r="556" spans="1:1" x14ac:dyDescent="0.25">
      <c r="A556" t="e">
        <f>-------наемники</f>
        <v>#NAME?</v>
      </c>
    </row>
    <row r="557" spans="1:1" x14ac:dyDescent="0.25">
      <c r="A557" t="s">
        <v>115</v>
      </c>
    </row>
    <row r="558" spans="1:1" x14ac:dyDescent="0.25">
      <c r="A558" t="e">
        <f>-------наемники</f>
        <v>#NAME?</v>
      </c>
    </row>
    <row r="559" spans="1:1" x14ac:dyDescent="0.25">
      <c r="A559" t="s">
        <v>119</v>
      </c>
    </row>
    <row r="560" spans="1:1" x14ac:dyDescent="0.25">
      <c r="A560" t="e">
        <f>-------наемники</f>
        <v>#NAME?</v>
      </c>
    </row>
    <row r="561" spans="1:1" x14ac:dyDescent="0.25">
      <c r="A561" t="s">
        <v>159</v>
      </c>
    </row>
    <row r="562" spans="1:1" x14ac:dyDescent="0.25">
      <c r="A562" t="e">
        <f>-------наемники</f>
        <v>#NAME?</v>
      </c>
    </row>
    <row r="563" spans="1:1" x14ac:dyDescent="0.25">
      <c r="A563" t="s">
        <v>124</v>
      </c>
    </row>
    <row r="564" spans="1:1" x14ac:dyDescent="0.25">
      <c r="A564" t="s">
        <v>339</v>
      </c>
    </row>
    <row r="565" spans="1:1" x14ac:dyDescent="0.25">
      <c r="A565" t="s">
        <v>340</v>
      </c>
    </row>
    <row r="566" spans="1:1" x14ac:dyDescent="0.25">
      <c r="A566" t="s">
        <v>126</v>
      </c>
    </row>
    <row r="567" spans="1:1" x14ac:dyDescent="0.25">
      <c r="A567" t="e">
        <f>-------наемники</f>
        <v>#NAME?</v>
      </c>
    </row>
    <row r="568" spans="1:1" x14ac:dyDescent="0.25">
      <c r="A568" t="s">
        <v>127</v>
      </c>
    </row>
    <row r="570" spans="1:1" x14ac:dyDescent="0.25">
      <c r="A570" t="s">
        <v>343</v>
      </c>
    </row>
    <row r="571" spans="1:1" x14ac:dyDescent="0.25">
      <c r="A571" t="s">
        <v>83</v>
      </c>
    </row>
    <row r="572" spans="1:1" x14ac:dyDescent="0.25">
      <c r="A572" t="s">
        <v>344</v>
      </c>
    </row>
    <row r="573" spans="1:1" x14ac:dyDescent="0.25">
      <c r="A573" t="s">
        <v>345</v>
      </c>
    </row>
    <row r="574" spans="1:1" x14ac:dyDescent="0.25">
      <c r="A574" t="s">
        <v>87</v>
      </c>
    </row>
    <row r="575" spans="1:1" x14ac:dyDescent="0.25">
      <c r="A575" t="s">
        <v>131</v>
      </c>
    </row>
    <row r="576" spans="1:1" x14ac:dyDescent="0.25">
      <c r="A576" t="s">
        <v>346</v>
      </c>
    </row>
    <row r="577" spans="1:1" x14ac:dyDescent="0.25">
      <c r="A577" t="s">
        <v>90</v>
      </c>
    </row>
    <row r="579" spans="1:1" x14ac:dyDescent="0.25">
      <c r="A579" t="s">
        <v>94</v>
      </c>
    </row>
    <row r="581" spans="1:1" x14ac:dyDescent="0.25">
      <c r="A581" t="s">
        <v>97</v>
      </c>
    </row>
    <row r="583" spans="1:1" x14ac:dyDescent="0.25">
      <c r="A583" t="s">
        <v>100</v>
      </c>
    </row>
    <row r="585" spans="1:1" x14ac:dyDescent="0.25">
      <c r="A585" t="s">
        <v>103</v>
      </c>
    </row>
    <row r="587" spans="1:1" x14ac:dyDescent="0.25">
      <c r="A587" t="s">
        <v>106</v>
      </c>
    </row>
    <row r="588" spans="1:1" x14ac:dyDescent="0.25">
      <c r="A588" t="s">
        <v>347</v>
      </c>
    </row>
    <row r="589" spans="1:1" x14ac:dyDescent="0.25">
      <c r="A589" t="s">
        <v>348</v>
      </c>
    </row>
    <row r="590" spans="1:1" x14ac:dyDescent="0.25">
      <c r="A590" t="s">
        <v>115</v>
      </c>
    </row>
    <row r="591" spans="1:1" x14ac:dyDescent="0.25">
      <c r="A591" t="s">
        <v>223</v>
      </c>
    </row>
    <row r="592" spans="1:1" x14ac:dyDescent="0.25">
      <c r="A592" t="s">
        <v>119</v>
      </c>
    </row>
    <row r="594" spans="1:1" x14ac:dyDescent="0.25">
      <c r="A594" t="s">
        <v>159</v>
      </c>
    </row>
    <row r="596" spans="1:1" x14ac:dyDescent="0.25">
      <c r="A596" t="s">
        <v>124</v>
      </c>
    </row>
    <row r="598" spans="1:1" x14ac:dyDescent="0.25">
      <c r="A598" t="s">
        <v>126</v>
      </c>
    </row>
    <row r="600" spans="1:1" x14ac:dyDescent="0.25">
      <c r="A600" t="s">
        <v>127</v>
      </c>
    </row>
    <row r="602" spans="1:1" x14ac:dyDescent="0.25">
      <c r="A602" t="s">
        <v>349</v>
      </c>
    </row>
    <row r="603" spans="1:1" x14ac:dyDescent="0.25">
      <c r="A603" t="s">
        <v>83</v>
      </c>
    </row>
    <row r="604" spans="1:1" x14ac:dyDescent="0.25">
      <c r="A604" t="s">
        <v>350</v>
      </c>
    </row>
    <row r="605" spans="1:1" x14ac:dyDescent="0.25">
      <c r="A605" t="e">
        <f>- Нормальная тяжелая конница</f>
        <v>#NAME?</v>
      </c>
    </row>
    <row r="606" spans="1:1" x14ac:dyDescent="0.25">
      <c r="A606" t="e">
        <f>- много спешенной и пешей тяжелой пехоты.</f>
        <v>#NAME?</v>
      </c>
    </row>
    <row r="607" spans="1:1" x14ac:dyDescent="0.25">
      <c r="A607" t="s">
        <v>351</v>
      </c>
    </row>
    <row r="608" spans="1:1" x14ac:dyDescent="0.25">
      <c r="A608" t="s">
        <v>352</v>
      </c>
    </row>
    <row r="609" spans="1:1" x14ac:dyDescent="0.25">
      <c r="A609" t="s">
        <v>353</v>
      </c>
    </row>
    <row r="610" spans="1:1" x14ac:dyDescent="0.25">
      <c r="A610" t="e">
        <f>- Лондонское ополчение - воины высочайшего класса и тяжеленной брони</f>
        <v>#NAME?</v>
      </c>
    </row>
    <row r="611" spans="1:1" x14ac:dyDescent="0.25">
      <c r="A611" t="s">
        <v>87</v>
      </c>
    </row>
    <row r="612" spans="1:1" x14ac:dyDescent="0.25">
      <c r="A612" t="s">
        <v>131</v>
      </c>
    </row>
    <row r="613" spans="1:1" x14ac:dyDescent="0.25">
      <c r="A613" t="s">
        <v>354</v>
      </c>
    </row>
    <row r="614" spans="1:1" x14ac:dyDescent="0.25">
      <c r="A614" t="s">
        <v>355</v>
      </c>
    </row>
    <row r="615" spans="1:1" x14ac:dyDescent="0.25">
      <c r="A615" t="s">
        <v>90</v>
      </c>
    </row>
    <row r="616" spans="1:1" x14ac:dyDescent="0.25">
      <c r="A616" t="s">
        <v>356</v>
      </c>
    </row>
    <row r="617" spans="1:1" x14ac:dyDescent="0.25">
      <c r="A617" t="s">
        <v>357</v>
      </c>
    </row>
    <row r="618" spans="1:1" x14ac:dyDescent="0.25">
      <c r="A618" t="s">
        <v>94</v>
      </c>
    </row>
    <row r="619" spans="1:1" x14ac:dyDescent="0.25">
      <c r="A619" t="s">
        <v>358</v>
      </c>
    </row>
    <row r="620" spans="1:1" x14ac:dyDescent="0.25">
      <c r="A620" t="s">
        <v>359</v>
      </c>
    </row>
    <row r="621" spans="1:1" x14ac:dyDescent="0.25">
      <c r="A621" t="s">
        <v>360</v>
      </c>
    </row>
    <row r="622" spans="1:1" x14ac:dyDescent="0.25">
      <c r="A622" t="s">
        <v>97</v>
      </c>
    </row>
    <row r="623" spans="1:1" x14ac:dyDescent="0.25">
      <c r="A623" t="s">
        <v>361</v>
      </c>
    </row>
    <row r="624" spans="1:1" x14ac:dyDescent="0.25">
      <c r="A624" t="s">
        <v>362</v>
      </c>
    </row>
    <row r="625" spans="1:1" x14ac:dyDescent="0.25">
      <c r="A625" t="s">
        <v>363</v>
      </c>
    </row>
    <row r="626" spans="1:1" x14ac:dyDescent="0.25">
      <c r="A626" t="s">
        <v>364</v>
      </c>
    </row>
    <row r="627" spans="1:1" x14ac:dyDescent="0.25">
      <c r="A627" t="s">
        <v>100</v>
      </c>
    </row>
    <row r="628" spans="1:1" x14ac:dyDescent="0.25">
      <c r="A628" t="s">
        <v>365</v>
      </c>
    </row>
    <row r="629" spans="1:1" x14ac:dyDescent="0.25">
      <c r="A629" t="s">
        <v>366</v>
      </c>
    </row>
    <row r="630" spans="1:1" x14ac:dyDescent="0.25">
      <c r="A630" t="s">
        <v>367</v>
      </c>
    </row>
    <row r="631" spans="1:1" x14ac:dyDescent="0.25">
      <c r="A631" t="s">
        <v>103</v>
      </c>
    </row>
    <row r="632" spans="1:1" x14ac:dyDescent="0.25">
      <c r="A632" t="s">
        <v>368</v>
      </c>
    </row>
    <row r="633" spans="1:1" x14ac:dyDescent="0.25">
      <c r="A633" t="s">
        <v>369</v>
      </c>
    </row>
    <row r="634" spans="1:1" x14ac:dyDescent="0.25">
      <c r="A634" t="s">
        <v>106</v>
      </c>
    </row>
    <row r="635" spans="1:1" x14ac:dyDescent="0.25">
      <c r="A635" t="s">
        <v>370</v>
      </c>
    </row>
    <row r="636" spans="1:1" x14ac:dyDescent="0.25">
      <c r="A636" t="s">
        <v>115</v>
      </c>
    </row>
    <row r="637" spans="1:1" x14ac:dyDescent="0.25">
      <c r="A637" t="s">
        <v>371</v>
      </c>
    </row>
    <row r="638" spans="1:1" x14ac:dyDescent="0.25">
      <c r="A638" t="s">
        <v>372</v>
      </c>
    </row>
    <row r="639" spans="1:1" x14ac:dyDescent="0.25">
      <c r="A639" t="s">
        <v>119</v>
      </c>
    </row>
    <row r="640" spans="1:1" x14ac:dyDescent="0.25">
      <c r="A640" t="s">
        <v>373</v>
      </c>
    </row>
    <row r="641" spans="1:1" x14ac:dyDescent="0.25">
      <c r="A641" t="s">
        <v>159</v>
      </c>
    </row>
    <row r="642" spans="1:1" x14ac:dyDescent="0.25">
      <c r="A642" t="s">
        <v>374</v>
      </c>
    </row>
    <row r="643" spans="1:1" x14ac:dyDescent="0.25">
      <c r="A643" t="s">
        <v>247</v>
      </c>
    </row>
    <row r="644" spans="1:1" x14ac:dyDescent="0.25">
      <c r="A644" t="s">
        <v>375</v>
      </c>
    </row>
    <row r="645" spans="1:1" x14ac:dyDescent="0.25">
      <c r="A645" t="s">
        <v>376</v>
      </c>
    </row>
    <row r="646" spans="1:1" x14ac:dyDescent="0.25">
      <c r="A646" t="s">
        <v>377</v>
      </c>
    </row>
    <row r="647" spans="1:1" x14ac:dyDescent="0.25">
      <c r="A647" t="s">
        <v>378</v>
      </c>
    </row>
    <row r="648" spans="1:1" x14ac:dyDescent="0.25">
      <c r="A648" t="s">
        <v>124</v>
      </c>
    </row>
    <row r="649" spans="1:1" x14ac:dyDescent="0.25">
      <c r="A649" t="s">
        <v>379</v>
      </c>
    </row>
    <row r="650" spans="1:1" x14ac:dyDescent="0.25">
      <c r="A650" t="s">
        <v>380</v>
      </c>
    </row>
    <row r="651" spans="1:1" x14ac:dyDescent="0.25">
      <c r="A651" t="s">
        <v>381</v>
      </c>
    </row>
    <row r="652" spans="1:1" x14ac:dyDescent="0.25">
      <c r="A652" t="s">
        <v>126</v>
      </c>
    </row>
    <row r="653" spans="1:1" x14ac:dyDescent="0.25">
      <c r="A653" t="s">
        <v>382</v>
      </c>
    </row>
    <row r="654" spans="1:1" x14ac:dyDescent="0.25">
      <c r="A654" t="s">
        <v>127</v>
      </c>
    </row>
    <row r="656" spans="1:1" x14ac:dyDescent="0.25">
      <c r="A656" t="s">
        <v>553</v>
      </c>
    </row>
    <row r="657" spans="1:1" x14ac:dyDescent="0.25">
      <c r="A657" t="s">
        <v>83</v>
      </c>
    </row>
    <row r="658" spans="1:1" x14ac:dyDescent="0.25">
      <c r="A658" t="e">
        <f>- много денег</f>
        <v>#NAME?</v>
      </c>
    </row>
    <row r="659" spans="1:1" x14ac:dyDescent="0.25">
      <c r="A659" t="e">
        <f>- швейцарская гвардия</f>
        <v>#NAME?</v>
      </c>
    </row>
    <row r="660" spans="1:1" x14ac:dyDescent="0.25">
      <c r="A660" t="s">
        <v>87</v>
      </c>
    </row>
    <row r="661" spans="1:1" x14ac:dyDescent="0.25">
      <c r="A661" t="s">
        <v>131</v>
      </c>
    </row>
    <row r="663" spans="1:1" x14ac:dyDescent="0.25">
      <c r="A663" t="s">
        <v>90</v>
      </c>
    </row>
    <row r="665" spans="1:1" x14ac:dyDescent="0.25">
      <c r="A665" t="s">
        <v>94</v>
      </c>
    </row>
    <row r="667" spans="1:1" x14ac:dyDescent="0.25">
      <c r="A667" t="s">
        <v>97</v>
      </c>
    </row>
    <row r="669" spans="1:1" x14ac:dyDescent="0.25">
      <c r="A669" t="s">
        <v>100</v>
      </c>
    </row>
    <row r="671" spans="1:1" x14ac:dyDescent="0.25">
      <c r="A671" t="s">
        <v>103</v>
      </c>
    </row>
    <row r="673" spans="1:1" x14ac:dyDescent="0.25">
      <c r="A673" t="s">
        <v>106</v>
      </c>
    </row>
    <row r="675" spans="1:1" x14ac:dyDescent="0.25">
      <c r="A675" t="s">
        <v>115</v>
      </c>
    </row>
    <row r="676" spans="1:1" x14ac:dyDescent="0.25">
      <c r="A676" t="s">
        <v>223</v>
      </c>
    </row>
    <row r="677" spans="1:1" x14ac:dyDescent="0.25">
      <c r="A677" t="s">
        <v>119</v>
      </c>
    </row>
    <row r="679" spans="1:1" x14ac:dyDescent="0.25">
      <c r="A679" t="s">
        <v>159</v>
      </c>
    </row>
    <row r="681" spans="1:1" x14ac:dyDescent="0.25">
      <c r="A681" t="s">
        <v>124</v>
      </c>
    </row>
    <row r="683" spans="1:1" x14ac:dyDescent="0.25">
      <c r="A683" t="s">
        <v>126</v>
      </c>
    </row>
    <row r="684" spans="1:1" x14ac:dyDescent="0.25">
      <c r="A684" t="s">
        <v>384</v>
      </c>
    </row>
    <row r="685" spans="1:1" x14ac:dyDescent="0.25">
      <c r="A685" t="s">
        <v>554</v>
      </c>
    </row>
    <row r="686" spans="1:1" x14ac:dyDescent="0.25">
      <c r="A686" t="s">
        <v>127</v>
      </c>
    </row>
    <row r="688" spans="1:1" x14ac:dyDescent="0.25">
      <c r="A688" t="s">
        <v>555</v>
      </c>
    </row>
    <row r="689" spans="1:1" x14ac:dyDescent="0.25">
      <c r="A689" t="s">
        <v>83</v>
      </c>
    </row>
    <row r="691" spans="1:1" x14ac:dyDescent="0.25">
      <c r="A691" t="s">
        <v>87</v>
      </c>
    </row>
    <row r="692" spans="1:1" x14ac:dyDescent="0.25">
      <c r="A692" t="s">
        <v>131</v>
      </c>
    </row>
    <row r="694" spans="1:1" x14ac:dyDescent="0.25">
      <c r="A694" t="s">
        <v>90</v>
      </c>
    </row>
    <row r="696" spans="1:1" x14ac:dyDescent="0.25">
      <c r="A696" t="s">
        <v>94</v>
      </c>
    </row>
    <row r="698" spans="1:1" x14ac:dyDescent="0.25">
      <c r="A698" t="s">
        <v>97</v>
      </c>
    </row>
    <row r="700" spans="1:1" x14ac:dyDescent="0.25">
      <c r="A700" t="s">
        <v>100</v>
      </c>
    </row>
    <row r="702" spans="1:1" x14ac:dyDescent="0.25">
      <c r="A702" t="s">
        <v>103</v>
      </c>
    </row>
    <row r="704" spans="1:1" x14ac:dyDescent="0.25">
      <c r="A704" t="s">
        <v>106</v>
      </c>
    </row>
    <row r="706" spans="1:1" x14ac:dyDescent="0.25">
      <c r="A706" t="s">
        <v>115</v>
      </c>
    </row>
    <row r="707" spans="1:1" x14ac:dyDescent="0.25">
      <c r="A707" t="s">
        <v>223</v>
      </c>
    </row>
    <row r="708" spans="1:1" x14ac:dyDescent="0.25">
      <c r="A708" t="s">
        <v>119</v>
      </c>
    </row>
    <row r="710" spans="1:1" x14ac:dyDescent="0.25">
      <c r="A710" t="s">
        <v>159</v>
      </c>
    </row>
    <row r="712" spans="1:1" x14ac:dyDescent="0.25">
      <c r="A712" t="s">
        <v>124</v>
      </c>
    </row>
    <row r="714" spans="1:1" x14ac:dyDescent="0.25">
      <c r="A714" t="s">
        <v>126</v>
      </c>
    </row>
    <row r="716" spans="1:1" x14ac:dyDescent="0.25">
      <c r="A716" t="s">
        <v>127</v>
      </c>
    </row>
    <row r="718" spans="1:1" x14ac:dyDescent="0.25">
      <c r="A718" t="s">
        <v>556</v>
      </c>
    </row>
    <row r="719" spans="1:1" x14ac:dyDescent="0.25">
      <c r="A719" t="s">
        <v>83</v>
      </c>
    </row>
    <row r="720" spans="1:1" x14ac:dyDescent="0.25">
      <c r="A720" t="e">
        <f>- отличная легкая конница в больших количествах.</f>
        <v>#NAME?</v>
      </c>
    </row>
    <row r="721" spans="1:1" x14ac:dyDescent="0.25">
      <c r="A721" t="s">
        <v>385</v>
      </c>
    </row>
    <row r="722" spans="1:1" x14ac:dyDescent="0.25">
      <c r="A722" t="s">
        <v>386</v>
      </c>
    </row>
    <row r="723" spans="1:1" x14ac:dyDescent="0.25">
      <c r="A723" t="e">
        <f>- Большое количество очень хороших аркебузеров.</f>
        <v>#NAME?</v>
      </c>
    </row>
    <row r="724" spans="1:1" x14ac:dyDescent="0.25">
      <c r="A724" t="e">
        <f>- очень много денег от столичного города.</f>
        <v>#NAME?</v>
      </c>
    </row>
    <row r="726" spans="1:1" x14ac:dyDescent="0.25">
      <c r="A726" t="s">
        <v>387</v>
      </c>
    </row>
    <row r="727" spans="1:1" x14ac:dyDescent="0.25">
      <c r="A727" t="s">
        <v>388</v>
      </c>
    </row>
    <row r="728" spans="1:1" x14ac:dyDescent="0.25">
      <c r="A728" t="s">
        <v>389</v>
      </c>
    </row>
    <row r="729" spans="1:1" x14ac:dyDescent="0.25">
      <c r="A729" t="s">
        <v>87</v>
      </c>
    </row>
    <row r="730" spans="1:1" x14ac:dyDescent="0.25">
      <c r="A730" t="s">
        <v>131</v>
      </c>
    </row>
    <row r="731" spans="1:1" x14ac:dyDescent="0.25">
      <c r="A731" t="s">
        <v>390</v>
      </c>
    </row>
    <row r="732" spans="1:1" x14ac:dyDescent="0.25">
      <c r="A732" t="s">
        <v>391</v>
      </c>
    </row>
    <row r="733" spans="1:1" x14ac:dyDescent="0.25">
      <c r="A733" t="s">
        <v>90</v>
      </c>
    </row>
    <row r="734" spans="1:1" x14ac:dyDescent="0.25">
      <c r="A734" t="s">
        <v>392</v>
      </c>
    </row>
    <row r="735" spans="1:1" x14ac:dyDescent="0.25">
      <c r="A735" t="s">
        <v>393</v>
      </c>
    </row>
    <row r="736" spans="1:1" x14ac:dyDescent="0.25">
      <c r="A736" t="s">
        <v>94</v>
      </c>
    </row>
    <row r="737" spans="1:1" x14ac:dyDescent="0.25">
      <c r="A737" t="s">
        <v>394</v>
      </c>
    </row>
    <row r="738" spans="1:1" x14ac:dyDescent="0.25">
      <c r="A738" t="s">
        <v>395</v>
      </c>
    </row>
    <row r="739" spans="1:1" x14ac:dyDescent="0.25">
      <c r="A739" t="s">
        <v>396</v>
      </c>
    </row>
    <row r="740" spans="1:1" x14ac:dyDescent="0.25">
      <c r="A740" t="s">
        <v>397</v>
      </c>
    </row>
    <row r="741" spans="1:1" x14ac:dyDescent="0.25">
      <c r="A741" t="s">
        <v>97</v>
      </c>
    </row>
    <row r="742" spans="1:1" x14ac:dyDescent="0.25">
      <c r="A742" t="s">
        <v>398</v>
      </c>
    </row>
    <row r="743" spans="1:1" x14ac:dyDescent="0.25">
      <c r="A743" t="s">
        <v>557</v>
      </c>
    </row>
    <row r="744" spans="1:1" x14ac:dyDescent="0.25">
      <c r="A744" t="s">
        <v>399</v>
      </c>
    </row>
    <row r="745" spans="1:1" x14ac:dyDescent="0.25">
      <c r="A745" t="s">
        <v>100</v>
      </c>
    </row>
    <row r="746" spans="1:1" x14ac:dyDescent="0.25">
      <c r="A746" t="s">
        <v>400</v>
      </c>
    </row>
    <row r="747" spans="1:1" x14ac:dyDescent="0.25">
      <c r="A747" t="s">
        <v>401</v>
      </c>
    </row>
    <row r="748" spans="1:1" x14ac:dyDescent="0.25">
      <c r="A748" t="s">
        <v>402</v>
      </c>
    </row>
    <row r="749" spans="1:1" x14ac:dyDescent="0.25">
      <c r="A749" t="s">
        <v>403</v>
      </c>
    </row>
    <row r="750" spans="1:1" x14ac:dyDescent="0.25">
      <c r="A750" t="s">
        <v>103</v>
      </c>
    </row>
    <row r="751" spans="1:1" x14ac:dyDescent="0.25">
      <c r="A751" t="s">
        <v>404</v>
      </c>
    </row>
    <row r="752" spans="1:1" x14ac:dyDescent="0.25">
      <c r="A752" t="s">
        <v>106</v>
      </c>
    </row>
    <row r="753" spans="1:1" x14ac:dyDescent="0.25">
      <c r="A753" t="s">
        <v>405</v>
      </c>
    </row>
    <row r="754" spans="1:1" x14ac:dyDescent="0.25">
      <c r="A754" t="s">
        <v>406</v>
      </c>
    </row>
    <row r="755" spans="1:1" x14ac:dyDescent="0.25">
      <c r="A755" t="s">
        <v>407</v>
      </c>
    </row>
    <row r="756" spans="1:1" x14ac:dyDescent="0.25">
      <c r="A756" t="s">
        <v>408</v>
      </c>
    </row>
    <row r="757" spans="1:1" x14ac:dyDescent="0.25">
      <c r="A757" t="s">
        <v>115</v>
      </c>
    </row>
    <row r="758" spans="1:1" x14ac:dyDescent="0.25">
      <c r="A758" t="s">
        <v>409</v>
      </c>
    </row>
    <row r="759" spans="1:1" x14ac:dyDescent="0.25">
      <c r="A759" t="s">
        <v>410</v>
      </c>
    </row>
    <row r="760" spans="1:1" x14ac:dyDescent="0.25">
      <c r="A760" t="s">
        <v>411</v>
      </c>
    </row>
    <row r="761" spans="1:1" x14ac:dyDescent="0.25">
      <c r="A761" t="s">
        <v>412</v>
      </c>
    </row>
    <row r="762" spans="1:1" x14ac:dyDescent="0.25">
      <c r="A762" t="s">
        <v>119</v>
      </c>
    </row>
    <row r="763" spans="1:1" x14ac:dyDescent="0.25">
      <c r="A763" t="s">
        <v>413</v>
      </c>
    </row>
    <row r="764" spans="1:1" x14ac:dyDescent="0.25">
      <c r="A764" t="s">
        <v>159</v>
      </c>
    </row>
    <row r="765" spans="1:1" x14ac:dyDescent="0.25">
      <c r="A765" t="e">
        <f>-------наемники</f>
        <v>#NAME?</v>
      </c>
    </row>
    <row r="766" spans="1:1" x14ac:dyDescent="0.25">
      <c r="A766" t="s">
        <v>124</v>
      </c>
    </row>
    <row r="767" spans="1:1" x14ac:dyDescent="0.25">
      <c r="A767" t="s">
        <v>414</v>
      </c>
    </row>
    <row r="768" spans="1:1" x14ac:dyDescent="0.25">
      <c r="A768" t="s">
        <v>126</v>
      </c>
    </row>
    <row r="769" spans="1:1" x14ac:dyDescent="0.25">
      <c r="A769" t="s">
        <v>415</v>
      </c>
    </row>
    <row r="770" spans="1:1" x14ac:dyDescent="0.25">
      <c r="A770" t="s">
        <v>416</v>
      </c>
    </row>
    <row r="771" spans="1:1" x14ac:dyDescent="0.25">
      <c r="A771" t="s">
        <v>417</v>
      </c>
    </row>
    <row r="772" spans="1:1" x14ac:dyDescent="0.25">
      <c r="A772" t="s">
        <v>127</v>
      </c>
    </row>
    <row r="774" spans="1:1" x14ac:dyDescent="0.25">
      <c r="A774" t="s">
        <v>558</v>
      </c>
    </row>
    <row r="775" spans="1:1" x14ac:dyDescent="0.25">
      <c r="A775" t="s">
        <v>83</v>
      </c>
    </row>
    <row r="777" spans="1:1" x14ac:dyDescent="0.25">
      <c r="A777" t="s">
        <v>87</v>
      </c>
    </row>
    <row r="778" spans="1:1" x14ac:dyDescent="0.25">
      <c r="A778" t="s">
        <v>131</v>
      </c>
    </row>
    <row r="780" spans="1:1" x14ac:dyDescent="0.25">
      <c r="A780" t="s">
        <v>90</v>
      </c>
    </row>
    <row r="782" spans="1:1" x14ac:dyDescent="0.25">
      <c r="A782" t="s">
        <v>94</v>
      </c>
    </row>
    <row r="784" spans="1:1" x14ac:dyDescent="0.25">
      <c r="A784" t="s">
        <v>97</v>
      </c>
    </row>
    <row r="786" spans="1:1" x14ac:dyDescent="0.25">
      <c r="A786" t="s">
        <v>100</v>
      </c>
    </row>
    <row r="788" spans="1:1" x14ac:dyDescent="0.25">
      <c r="A788" t="s">
        <v>103</v>
      </c>
    </row>
    <row r="790" spans="1:1" x14ac:dyDescent="0.25">
      <c r="A790" t="s">
        <v>106</v>
      </c>
    </row>
    <row r="792" spans="1:1" x14ac:dyDescent="0.25">
      <c r="A792" t="s">
        <v>115</v>
      </c>
    </row>
    <row r="793" spans="1:1" x14ac:dyDescent="0.25">
      <c r="A793" t="s">
        <v>223</v>
      </c>
    </row>
    <row r="794" spans="1:1" x14ac:dyDescent="0.25">
      <c r="A794" t="s">
        <v>119</v>
      </c>
    </row>
    <row r="796" spans="1:1" x14ac:dyDescent="0.25">
      <c r="A796" t="s">
        <v>159</v>
      </c>
    </row>
    <row r="798" spans="1:1" x14ac:dyDescent="0.25">
      <c r="A798" t="s">
        <v>124</v>
      </c>
    </row>
    <row r="800" spans="1:1" x14ac:dyDescent="0.25">
      <c r="A800" t="s">
        <v>126</v>
      </c>
    </row>
    <row r="802" spans="1:1" x14ac:dyDescent="0.25">
      <c r="A802" t="s">
        <v>127</v>
      </c>
    </row>
    <row r="804" spans="1:1" x14ac:dyDescent="0.25">
      <c r="A804" t="s">
        <v>559</v>
      </c>
    </row>
    <row r="805" spans="1:1" x14ac:dyDescent="0.25">
      <c r="A805" t="s">
        <v>83</v>
      </c>
    </row>
    <row r="806" spans="1:1" x14ac:dyDescent="0.25">
      <c r="A806" t="s">
        <v>418</v>
      </c>
    </row>
    <row r="807" spans="1:1" x14ac:dyDescent="0.25">
      <c r="A807" t="s">
        <v>419</v>
      </c>
    </row>
    <row r="808" spans="1:1" x14ac:dyDescent="0.25">
      <c r="A808" t="e">
        <f>- и христианская гвардия</f>
        <v>#NAME?</v>
      </c>
    </row>
    <row r="809" spans="1:1" x14ac:dyDescent="0.25">
      <c r="A809" t="s">
        <v>87</v>
      </c>
    </row>
    <row r="810" spans="1:1" x14ac:dyDescent="0.25">
      <c r="A810" t="s">
        <v>131</v>
      </c>
    </row>
    <row r="811" spans="1:1" x14ac:dyDescent="0.25">
      <c r="A811" t="s">
        <v>420</v>
      </c>
    </row>
    <row r="812" spans="1:1" x14ac:dyDescent="0.25">
      <c r="A812" t="s">
        <v>90</v>
      </c>
    </row>
    <row r="813" spans="1:1" x14ac:dyDescent="0.25">
      <c r="A813" t="s">
        <v>421</v>
      </c>
    </row>
    <row r="814" spans="1:1" x14ac:dyDescent="0.25">
      <c r="A814" t="s">
        <v>422</v>
      </c>
    </row>
    <row r="815" spans="1:1" x14ac:dyDescent="0.25">
      <c r="A815" t="s">
        <v>94</v>
      </c>
    </row>
    <row r="816" spans="1:1" x14ac:dyDescent="0.25">
      <c r="A816" t="s">
        <v>423</v>
      </c>
    </row>
    <row r="817" spans="1:1" x14ac:dyDescent="0.25">
      <c r="A817" t="s">
        <v>424</v>
      </c>
    </row>
    <row r="818" spans="1:1" x14ac:dyDescent="0.25">
      <c r="A818" t="s">
        <v>425</v>
      </c>
    </row>
    <row r="819" spans="1:1" x14ac:dyDescent="0.25">
      <c r="A819" t="s">
        <v>97</v>
      </c>
    </row>
    <row r="820" spans="1:1" x14ac:dyDescent="0.25">
      <c r="A820" t="e">
        <f>--------нет</f>
        <v>#NAME?</v>
      </c>
    </row>
    <row r="821" spans="1:1" x14ac:dyDescent="0.25">
      <c r="A821" t="s">
        <v>100</v>
      </c>
    </row>
    <row r="822" spans="1:1" x14ac:dyDescent="0.25">
      <c r="A822" t="s">
        <v>426</v>
      </c>
    </row>
    <row r="823" spans="1:1" x14ac:dyDescent="0.25">
      <c r="A823" t="s">
        <v>427</v>
      </c>
    </row>
    <row r="824" spans="1:1" x14ac:dyDescent="0.25">
      <c r="A824" t="s">
        <v>103</v>
      </c>
    </row>
    <row r="825" spans="1:1" x14ac:dyDescent="0.25">
      <c r="A825" t="e">
        <f>--------нет</f>
        <v>#NAME?</v>
      </c>
    </row>
    <row r="826" spans="1:1" x14ac:dyDescent="0.25">
      <c r="A826" t="s">
        <v>106</v>
      </c>
    </row>
    <row r="827" spans="1:1" x14ac:dyDescent="0.25">
      <c r="A827" t="e">
        <f>--------нет</f>
        <v>#NAME?</v>
      </c>
    </row>
    <row r="828" spans="1:1" x14ac:dyDescent="0.25">
      <c r="A828" t="s">
        <v>115</v>
      </c>
    </row>
    <row r="829" spans="1:1" x14ac:dyDescent="0.25">
      <c r="A829" t="e">
        <f>--------в ополчении</f>
        <v>#NAME?</v>
      </c>
    </row>
    <row r="830" spans="1:1" x14ac:dyDescent="0.25">
      <c r="A830" t="s">
        <v>119</v>
      </c>
    </row>
    <row r="831" spans="1:1" x14ac:dyDescent="0.25">
      <c r="A831" t="s">
        <v>428</v>
      </c>
    </row>
    <row r="832" spans="1:1" x14ac:dyDescent="0.25">
      <c r="A832" t="s">
        <v>159</v>
      </c>
    </row>
    <row r="833" spans="1:1" x14ac:dyDescent="0.25">
      <c r="A833" t="e">
        <f>------выше в ополчении</f>
        <v>#NAME?</v>
      </c>
    </row>
    <row r="834" spans="1:1" x14ac:dyDescent="0.25">
      <c r="A834" t="s">
        <v>429</v>
      </c>
    </row>
    <row r="835" spans="1:1" x14ac:dyDescent="0.25">
      <c r="A835" t="s">
        <v>430</v>
      </c>
    </row>
    <row r="836" spans="1:1" x14ac:dyDescent="0.25">
      <c r="A836" t="s">
        <v>126</v>
      </c>
    </row>
    <row r="837" spans="1:1" x14ac:dyDescent="0.25">
      <c r="A837" t="e">
        <f>-------нет</f>
        <v>#NAME?</v>
      </c>
    </row>
    <row r="838" spans="1:1" x14ac:dyDescent="0.25">
      <c r="A838" t="s">
        <v>127</v>
      </c>
    </row>
    <row r="840" spans="1:1" x14ac:dyDescent="0.25">
      <c r="A840" t="s">
        <v>560</v>
      </c>
    </row>
    <row r="841" spans="1:1" x14ac:dyDescent="0.25">
      <c r="A841" t="s">
        <v>83</v>
      </c>
    </row>
    <row r="843" spans="1:1" x14ac:dyDescent="0.25">
      <c r="A843" t="s">
        <v>87</v>
      </c>
    </row>
    <row r="844" spans="1:1" x14ac:dyDescent="0.25">
      <c r="A844" t="s">
        <v>131</v>
      </c>
    </row>
    <row r="846" spans="1:1" x14ac:dyDescent="0.25">
      <c r="A846" t="s">
        <v>90</v>
      </c>
    </row>
    <row r="848" spans="1:1" x14ac:dyDescent="0.25">
      <c r="A848" t="s">
        <v>94</v>
      </c>
    </row>
    <row r="850" spans="1:1" x14ac:dyDescent="0.25">
      <c r="A850" t="s">
        <v>97</v>
      </c>
    </row>
    <row r="852" spans="1:1" x14ac:dyDescent="0.25">
      <c r="A852" t="s">
        <v>100</v>
      </c>
    </row>
    <row r="854" spans="1:1" x14ac:dyDescent="0.25">
      <c r="A854" t="s">
        <v>103</v>
      </c>
    </row>
    <row r="856" spans="1:1" x14ac:dyDescent="0.25">
      <c r="A856" t="s">
        <v>106</v>
      </c>
    </row>
    <row r="858" spans="1:1" x14ac:dyDescent="0.25">
      <c r="A858" t="s">
        <v>115</v>
      </c>
    </row>
    <row r="859" spans="1:1" x14ac:dyDescent="0.25">
      <c r="A859" t="s">
        <v>223</v>
      </c>
    </row>
    <row r="860" spans="1:1" x14ac:dyDescent="0.25">
      <c r="A860" t="s">
        <v>119</v>
      </c>
    </row>
    <row r="862" spans="1:1" x14ac:dyDescent="0.25">
      <c r="A862" t="s">
        <v>159</v>
      </c>
    </row>
    <row r="864" spans="1:1" x14ac:dyDescent="0.25">
      <c r="A864" t="s">
        <v>124</v>
      </c>
    </row>
    <row r="866" spans="1:1" x14ac:dyDescent="0.25">
      <c r="A866" t="s">
        <v>126</v>
      </c>
    </row>
    <row r="868" spans="1:1" x14ac:dyDescent="0.25">
      <c r="A868" t="s">
        <v>127</v>
      </c>
    </row>
    <row r="870" spans="1:1" x14ac:dyDescent="0.25">
      <c r="A870" t="s">
        <v>561</v>
      </c>
    </row>
    <row r="871" spans="1:1" x14ac:dyDescent="0.25">
      <c r="A871" t="s">
        <v>83</v>
      </c>
    </row>
    <row r="873" spans="1:1" x14ac:dyDescent="0.25">
      <c r="A873" t="s">
        <v>87</v>
      </c>
    </row>
    <row r="874" spans="1:1" x14ac:dyDescent="0.25">
      <c r="A874" t="s">
        <v>131</v>
      </c>
    </row>
    <row r="876" spans="1:1" x14ac:dyDescent="0.25">
      <c r="A876" t="s">
        <v>90</v>
      </c>
    </row>
    <row r="878" spans="1:1" x14ac:dyDescent="0.25">
      <c r="A878" t="s">
        <v>94</v>
      </c>
    </row>
    <row r="880" spans="1:1" x14ac:dyDescent="0.25">
      <c r="A880" t="s">
        <v>97</v>
      </c>
    </row>
    <row r="882" spans="1:1" x14ac:dyDescent="0.25">
      <c r="A882" t="s">
        <v>100</v>
      </c>
    </row>
    <row r="884" spans="1:1" x14ac:dyDescent="0.25">
      <c r="A884" t="s">
        <v>103</v>
      </c>
    </row>
    <row r="886" spans="1:1" x14ac:dyDescent="0.25">
      <c r="A886" t="s">
        <v>106</v>
      </c>
    </row>
    <row r="888" spans="1:1" x14ac:dyDescent="0.25">
      <c r="A888" t="s">
        <v>115</v>
      </c>
    </row>
    <row r="889" spans="1:1" x14ac:dyDescent="0.25">
      <c r="A889" t="s">
        <v>223</v>
      </c>
    </row>
    <row r="890" spans="1:1" x14ac:dyDescent="0.25">
      <c r="A890" t="s">
        <v>119</v>
      </c>
    </row>
    <row r="892" spans="1:1" x14ac:dyDescent="0.25">
      <c r="A892" t="s">
        <v>159</v>
      </c>
    </row>
    <row r="894" spans="1:1" x14ac:dyDescent="0.25">
      <c r="A894" t="s">
        <v>124</v>
      </c>
    </row>
    <row r="896" spans="1:1" x14ac:dyDescent="0.25">
      <c r="A896" t="s">
        <v>126</v>
      </c>
    </row>
    <row r="898" spans="1:1" x14ac:dyDescent="0.25">
      <c r="A898" t="s">
        <v>127</v>
      </c>
    </row>
    <row r="900" spans="1:1" x14ac:dyDescent="0.25">
      <c r="A900" t="s">
        <v>562</v>
      </c>
    </row>
    <row r="901" spans="1:1" x14ac:dyDescent="0.25">
      <c r="A901" t="s">
        <v>83</v>
      </c>
    </row>
    <row r="903" spans="1:1" x14ac:dyDescent="0.25">
      <c r="A903" t="s">
        <v>87</v>
      </c>
    </row>
    <row r="904" spans="1:1" x14ac:dyDescent="0.25">
      <c r="A904" t="s">
        <v>131</v>
      </c>
    </row>
    <row r="906" spans="1:1" x14ac:dyDescent="0.25">
      <c r="A906" t="s">
        <v>90</v>
      </c>
    </row>
    <row r="908" spans="1:1" x14ac:dyDescent="0.25">
      <c r="A908" t="s">
        <v>94</v>
      </c>
    </row>
    <row r="910" spans="1:1" x14ac:dyDescent="0.25">
      <c r="A910" t="s">
        <v>97</v>
      </c>
    </row>
    <row r="912" spans="1:1" x14ac:dyDescent="0.25">
      <c r="A912" t="s">
        <v>100</v>
      </c>
    </row>
    <row r="914" spans="1:1" x14ac:dyDescent="0.25">
      <c r="A914" t="s">
        <v>103</v>
      </c>
    </row>
    <row r="916" spans="1:1" x14ac:dyDescent="0.25">
      <c r="A916" t="s">
        <v>106</v>
      </c>
    </row>
    <row r="917" spans="1:1" x14ac:dyDescent="0.25">
      <c r="A917" t="s">
        <v>563</v>
      </c>
    </row>
    <row r="918" spans="1:1" x14ac:dyDescent="0.25">
      <c r="A918" t="s">
        <v>564</v>
      </c>
    </row>
    <row r="919" spans="1:1" x14ac:dyDescent="0.25">
      <c r="A919" t="s">
        <v>115</v>
      </c>
    </row>
    <row r="920" spans="1:1" x14ac:dyDescent="0.25">
      <c r="A920" t="s">
        <v>223</v>
      </c>
    </row>
    <row r="921" spans="1:1" x14ac:dyDescent="0.25">
      <c r="A921" t="s">
        <v>119</v>
      </c>
    </row>
    <row r="923" spans="1:1" x14ac:dyDescent="0.25">
      <c r="A923" t="s">
        <v>159</v>
      </c>
    </row>
    <row r="925" spans="1:1" x14ac:dyDescent="0.25">
      <c r="A925" t="s">
        <v>124</v>
      </c>
    </row>
    <row r="927" spans="1:1" x14ac:dyDescent="0.25">
      <c r="A927" t="s">
        <v>126</v>
      </c>
    </row>
    <row r="929" spans="1:1" x14ac:dyDescent="0.25">
      <c r="A929" t="s">
        <v>127</v>
      </c>
    </row>
    <row r="931" spans="1:1" x14ac:dyDescent="0.25">
      <c r="A931" t="s">
        <v>435</v>
      </c>
    </row>
    <row r="932" spans="1:1" x14ac:dyDescent="0.25">
      <c r="A932" t="s">
        <v>83</v>
      </c>
    </row>
    <row r="933" spans="1:1" x14ac:dyDescent="0.25">
      <c r="A933" t="e">
        <f>- очень очень ПРЯМ очень быстрая легкая и средняя пехота (в т.ч. пикенеры) с мощным натиском и чарджем</f>
        <v>#NAME?</v>
      </c>
    </row>
    <row r="934" spans="1:1" x14ac:dyDescent="0.25">
      <c r="A934" t="e">
        <f>- Достаточно хорошей легкой конницы</f>
        <v>#NAME?</v>
      </c>
    </row>
    <row r="935" spans="1:1" x14ac:dyDescent="0.25">
      <c r="A935" t="e">
        <f>- тяжелой конницы исчезающе мало.</f>
        <v>#NAME?</v>
      </c>
    </row>
    <row r="936" spans="1:1" x14ac:dyDescent="0.25">
      <c r="A936" t="s">
        <v>436</v>
      </c>
    </row>
    <row r="937" spans="1:1" x14ac:dyDescent="0.25">
      <c r="A937" t="e">
        <f>- отличительная особенность - белый андреевский крест на груди и спине</f>
        <v>#NAME?</v>
      </c>
    </row>
    <row r="938" spans="1:1" x14ac:dyDescent="0.25">
      <c r="A938" t="e">
        <f>- Лоулендеры (равнинные) имели лучшую броню чем хайлендеры (горцы)</f>
        <v>#NAME?</v>
      </c>
    </row>
    <row r="939" spans="1:1" x14ac:dyDescent="0.25">
      <c r="A939" t="s">
        <v>437</v>
      </c>
    </row>
    <row r="940" spans="1:1" x14ac:dyDescent="0.25">
      <c r="A940" t="e">
        <f>- пикенеры (кроме знати и инструкторов) не лучшего качества</f>
        <v>#NAME?</v>
      </c>
    </row>
    <row r="941" spans="1:1" x14ac:dyDescent="0.25">
      <c r="A941" t="s">
        <v>438</v>
      </c>
    </row>
    <row r="942" spans="1:1" x14ac:dyDescent="0.25">
      <c r="A942" t="s">
        <v>87</v>
      </c>
    </row>
    <row r="943" spans="1:1" x14ac:dyDescent="0.25">
      <c r="A943" t="s">
        <v>131</v>
      </c>
    </row>
    <row r="944" spans="1:1" x14ac:dyDescent="0.25">
      <c r="A944" t="s">
        <v>439</v>
      </c>
    </row>
    <row r="945" spans="1:1" x14ac:dyDescent="0.25">
      <c r="A945" t="s">
        <v>90</v>
      </c>
    </row>
    <row r="946" spans="1:1" x14ac:dyDescent="0.25">
      <c r="A946" t="s">
        <v>565</v>
      </c>
    </row>
    <row r="947" spans="1:1" x14ac:dyDescent="0.25">
      <c r="A947" t="s">
        <v>440</v>
      </c>
    </row>
    <row r="948" spans="1:1" x14ac:dyDescent="0.25">
      <c r="A948" t="s">
        <v>566</v>
      </c>
    </row>
    <row r="949" spans="1:1" x14ac:dyDescent="0.25">
      <c r="A949" t="s">
        <v>567</v>
      </c>
    </row>
    <row r="950" spans="1:1" x14ac:dyDescent="0.25">
      <c r="A950" t="s">
        <v>94</v>
      </c>
    </row>
    <row r="951" spans="1:1" x14ac:dyDescent="0.25">
      <c r="A951" t="s">
        <v>441</v>
      </c>
    </row>
    <row r="952" spans="1:1" x14ac:dyDescent="0.25">
      <c r="A952" t="s">
        <v>442</v>
      </c>
    </row>
    <row r="953" spans="1:1" x14ac:dyDescent="0.25">
      <c r="A953" t="s">
        <v>97</v>
      </c>
    </row>
    <row r="954" spans="1:1" x14ac:dyDescent="0.25">
      <c r="A954" t="s">
        <v>443</v>
      </c>
    </row>
    <row r="955" spans="1:1" x14ac:dyDescent="0.25">
      <c r="A955" t="s">
        <v>568</v>
      </c>
    </row>
    <row r="956" spans="1:1" x14ac:dyDescent="0.25">
      <c r="A956" t="s">
        <v>569</v>
      </c>
    </row>
    <row r="957" spans="1:1" x14ac:dyDescent="0.25">
      <c r="A957" t="s">
        <v>100</v>
      </c>
    </row>
    <row r="958" spans="1:1" x14ac:dyDescent="0.25">
      <c r="A958" t="s">
        <v>444</v>
      </c>
    </row>
    <row r="959" spans="1:1" x14ac:dyDescent="0.25">
      <c r="A959" t="s">
        <v>445</v>
      </c>
    </row>
    <row r="960" spans="1:1" x14ac:dyDescent="0.25">
      <c r="A960" t="s">
        <v>446</v>
      </c>
    </row>
    <row r="961" spans="1:1" x14ac:dyDescent="0.25">
      <c r="A961" t="s">
        <v>103</v>
      </c>
    </row>
    <row r="962" spans="1:1" x14ac:dyDescent="0.25">
      <c r="A962" t="s">
        <v>447</v>
      </c>
    </row>
    <row r="963" spans="1:1" x14ac:dyDescent="0.25">
      <c r="A963" t="s">
        <v>448</v>
      </c>
    </row>
    <row r="964" spans="1:1" x14ac:dyDescent="0.25">
      <c r="A964" t="s">
        <v>106</v>
      </c>
    </row>
    <row r="965" spans="1:1" x14ac:dyDescent="0.25">
      <c r="A965" t="e">
        <f>-------нет</f>
        <v>#NAME?</v>
      </c>
    </row>
    <row r="966" spans="1:1" x14ac:dyDescent="0.25">
      <c r="A966" t="s">
        <v>115</v>
      </c>
    </row>
    <row r="967" spans="1:1" x14ac:dyDescent="0.25">
      <c r="A967" t="s">
        <v>570</v>
      </c>
    </row>
    <row r="968" spans="1:1" x14ac:dyDescent="0.25">
      <c r="A968" t="s">
        <v>571</v>
      </c>
    </row>
    <row r="969" spans="1:1" x14ac:dyDescent="0.25">
      <c r="A969" t="s">
        <v>449</v>
      </c>
    </row>
    <row r="970" spans="1:1" x14ac:dyDescent="0.25">
      <c r="A970" t="s">
        <v>119</v>
      </c>
    </row>
    <row r="971" spans="1:1" x14ac:dyDescent="0.25">
      <c r="A971" t="e">
        <f>--------нет</f>
        <v>#NAME?</v>
      </c>
    </row>
    <row r="972" spans="1:1" x14ac:dyDescent="0.25">
      <c r="A972" t="s">
        <v>159</v>
      </c>
    </row>
    <row r="973" spans="1:1" x14ac:dyDescent="0.25">
      <c r="A973" t="e">
        <f>--------нет</f>
        <v>#NAME?</v>
      </c>
    </row>
    <row r="974" spans="1:1" x14ac:dyDescent="0.25">
      <c r="A974" t="s">
        <v>124</v>
      </c>
    </row>
    <row r="975" spans="1:1" x14ac:dyDescent="0.25">
      <c r="A975" t="s">
        <v>450</v>
      </c>
    </row>
    <row r="976" spans="1:1" x14ac:dyDescent="0.25">
      <c r="A976" t="s">
        <v>451</v>
      </c>
    </row>
    <row r="977" spans="1:1" x14ac:dyDescent="0.25">
      <c r="A977" t="s">
        <v>126</v>
      </c>
    </row>
    <row r="978" spans="1:1" x14ac:dyDescent="0.25">
      <c r="A978" t="e">
        <f>-----наемники</f>
        <v>#NAME?</v>
      </c>
    </row>
    <row r="979" spans="1:1" x14ac:dyDescent="0.25">
      <c r="A979" t="s">
        <v>127</v>
      </c>
    </row>
    <row r="981" spans="1:1" x14ac:dyDescent="0.25">
      <c r="A981" t="s">
        <v>452</v>
      </c>
    </row>
    <row r="982" spans="1:1" x14ac:dyDescent="0.25">
      <c r="A982" t="s">
        <v>83</v>
      </c>
    </row>
    <row r="983" spans="1:1" x14ac:dyDescent="0.25">
      <c r="A983" t="e">
        <f>- самые сильные ландскнехты</f>
        <v>#NAME?</v>
      </c>
    </row>
    <row r="984" spans="1:1" x14ac:dyDescent="0.25">
      <c r="A984" t="s">
        <v>87</v>
      </c>
    </row>
    <row r="985" spans="1:1" x14ac:dyDescent="0.25">
      <c r="A985" t="s">
        <v>131</v>
      </c>
    </row>
    <row r="987" spans="1:1" x14ac:dyDescent="0.25">
      <c r="A987" t="s">
        <v>90</v>
      </c>
    </row>
    <row r="989" spans="1:1" x14ac:dyDescent="0.25">
      <c r="A989" t="s">
        <v>94</v>
      </c>
    </row>
    <row r="991" spans="1:1" x14ac:dyDescent="0.25">
      <c r="A991" t="s">
        <v>97</v>
      </c>
    </row>
    <row r="993" spans="1:1" x14ac:dyDescent="0.25">
      <c r="A993" t="s">
        <v>100</v>
      </c>
    </row>
    <row r="995" spans="1:1" x14ac:dyDescent="0.25">
      <c r="A995" t="s">
        <v>103</v>
      </c>
    </row>
    <row r="997" spans="1:1" x14ac:dyDescent="0.25">
      <c r="A997" t="s">
        <v>106</v>
      </c>
    </row>
    <row r="999" spans="1:1" x14ac:dyDescent="0.25">
      <c r="A999" t="s">
        <v>115</v>
      </c>
    </row>
    <row r="1000" spans="1:1" x14ac:dyDescent="0.25">
      <c r="A1000" t="s">
        <v>223</v>
      </c>
    </row>
    <row r="1001" spans="1:1" x14ac:dyDescent="0.25">
      <c r="A1001" t="s">
        <v>119</v>
      </c>
    </row>
    <row r="1003" spans="1:1" x14ac:dyDescent="0.25">
      <c r="A1003" t="s">
        <v>159</v>
      </c>
    </row>
    <row r="1005" spans="1:1" x14ac:dyDescent="0.25">
      <c r="A1005" t="s">
        <v>124</v>
      </c>
    </row>
    <row r="1007" spans="1:1" x14ac:dyDescent="0.25">
      <c r="A1007" t="s">
        <v>126</v>
      </c>
    </row>
    <row r="1009" spans="1:1" x14ac:dyDescent="0.25">
      <c r="A1009" t="s">
        <v>127</v>
      </c>
    </row>
    <row r="1011" spans="1:1" x14ac:dyDescent="0.25">
      <c r="A1011" t="s">
        <v>572</v>
      </c>
    </row>
    <row r="1012" spans="1:1" x14ac:dyDescent="0.25">
      <c r="A1012" t="s">
        <v>83</v>
      </c>
    </row>
    <row r="1014" spans="1:1" x14ac:dyDescent="0.25">
      <c r="A1014" t="s">
        <v>87</v>
      </c>
    </row>
    <row r="1015" spans="1:1" x14ac:dyDescent="0.25">
      <c r="A1015" t="s">
        <v>131</v>
      </c>
    </row>
    <row r="1017" spans="1:1" x14ac:dyDescent="0.25">
      <c r="A1017" t="s">
        <v>90</v>
      </c>
    </row>
    <row r="1019" spans="1:1" x14ac:dyDescent="0.25">
      <c r="A1019" t="s">
        <v>94</v>
      </c>
    </row>
    <row r="1021" spans="1:1" x14ac:dyDescent="0.25">
      <c r="A1021" t="s">
        <v>97</v>
      </c>
    </row>
    <row r="1023" spans="1:1" x14ac:dyDescent="0.25">
      <c r="A1023" t="s">
        <v>100</v>
      </c>
    </row>
    <row r="1025" spans="1:1" x14ac:dyDescent="0.25">
      <c r="A1025" t="s">
        <v>103</v>
      </c>
    </row>
    <row r="1027" spans="1:1" x14ac:dyDescent="0.25">
      <c r="A1027" t="s">
        <v>106</v>
      </c>
    </row>
    <row r="1029" spans="1:1" x14ac:dyDescent="0.25">
      <c r="A1029" t="s">
        <v>115</v>
      </c>
    </row>
    <row r="1030" spans="1:1" x14ac:dyDescent="0.25">
      <c r="A1030" t="s">
        <v>223</v>
      </c>
    </row>
    <row r="1031" spans="1:1" x14ac:dyDescent="0.25">
      <c r="A1031" t="s">
        <v>119</v>
      </c>
    </row>
    <row r="1033" spans="1:1" x14ac:dyDescent="0.25">
      <c r="A1033" t="s">
        <v>159</v>
      </c>
    </row>
    <row r="1035" spans="1:1" x14ac:dyDescent="0.25">
      <c r="A1035" t="s">
        <v>124</v>
      </c>
    </row>
    <row r="1037" spans="1:1" x14ac:dyDescent="0.25">
      <c r="A1037" t="s">
        <v>126</v>
      </c>
    </row>
    <row r="1039" spans="1:1" x14ac:dyDescent="0.25">
      <c r="A1039" t="s">
        <v>127</v>
      </c>
    </row>
    <row r="1041" spans="1:1" x14ac:dyDescent="0.25">
      <c r="A1041" t="s">
        <v>573</v>
      </c>
    </row>
    <row r="1042" spans="1:1" x14ac:dyDescent="0.25">
      <c r="A1042" t="s">
        <v>83</v>
      </c>
    </row>
    <row r="1044" spans="1:1" x14ac:dyDescent="0.25">
      <c r="A1044" t="s">
        <v>87</v>
      </c>
    </row>
    <row r="1045" spans="1:1" x14ac:dyDescent="0.25">
      <c r="A1045" t="s">
        <v>131</v>
      </c>
    </row>
    <row r="1047" spans="1:1" x14ac:dyDescent="0.25">
      <c r="A1047" t="s">
        <v>90</v>
      </c>
    </row>
    <row r="1049" spans="1:1" x14ac:dyDescent="0.25">
      <c r="A1049" t="s">
        <v>94</v>
      </c>
    </row>
    <row r="1051" spans="1:1" x14ac:dyDescent="0.25">
      <c r="A1051" t="s">
        <v>97</v>
      </c>
    </row>
    <row r="1053" spans="1:1" x14ac:dyDescent="0.25">
      <c r="A1053" t="s">
        <v>100</v>
      </c>
    </row>
    <row r="1055" spans="1:1" x14ac:dyDescent="0.25">
      <c r="A1055" t="s">
        <v>103</v>
      </c>
    </row>
    <row r="1057" spans="1:1" x14ac:dyDescent="0.25">
      <c r="A1057" t="s">
        <v>106</v>
      </c>
    </row>
    <row r="1059" spans="1:1" x14ac:dyDescent="0.25">
      <c r="A1059" t="s">
        <v>115</v>
      </c>
    </row>
    <row r="1060" spans="1:1" x14ac:dyDescent="0.25">
      <c r="A1060" t="s">
        <v>223</v>
      </c>
    </row>
    <row r="1061" spans="1:1" x14ac:dyDescent="0.25">
      <c r="A1061" t="s">
        <v>119</v>
      </c>
    </row>
    <row r="1063" spans="1:1" x14ac:dyDescent="0.25">
      <c r="A1063" t="s">
        <v>159</v>
      </c>
    </row>
    <row r="1065" spans="1:1" x14ac:dyDescent="0.25">
      <c r="A1065" t="s">
        <v>124</v>
      </c>
    </row>
    <row r="1067" spans="1:1" x14ac:dyDescent="0.25">
      <c r="A1067" t="s">
        <v>126</v>
      </c>
    </row>
    <row r="1069" spans="1:1" x14ac:dyDescent="0.25">
      <c r="A1069" t="s">
        <v>127</v>
      </c>
    </row>
    <row r="1071" spans="1:1" x14ac:dyDescent="0.25">
      <c r="A1071" t="s">
        <v>456</v>
      </c>
    </row>
    <row r="1072" spans="1:1" x14ac:dyDescent="0.25">
      <c r="A1072" t="s">
        <v>83</v>
      </c>
    </row>
    <row r="1073" spans="1:1" x14ac:dyDescent="0.25">
      <c r="A1073" t="e">
        <f>- средняя по всем параметрам. фракция - хорошист.</f>
        <v>#NAME?</v>
      </c>
    </row>
    <row r="1074" spans="1:1" x14ac:dyDescent="0.25">
      <c r="A1074" t="s">
        <v>457</v>
      </c>
    </row>
    <row r="1075" spans="1:1" x14ac:dyDescent="0.25">
      <c r="A1075" t="e">
        <f>- Упор на наемников-ландскнехтов и Бюргеров-ополчение.</f>
        <v>#NAME?</v>
      </c>
    </row>
    <row r="1076" spans="1:1" x14ac:dyDescent="0.25">
      <c r="A1076" t="s">
        <v>458</v>
      </c>
    </row>
    <row r="1077" spans="1:1" x14ac:dyDescent="0.25">
      <c r="A1077" t="s">
        <v>459</v>
      </c>
    </row>
    <row r="1078" spans="1:1" x14ac:dyDescent="0.25">
      <c r="A1078" t="s">
        <v>460</v>
      </c>
    </row>
    <row r="1079" spans="1:1" x14ac:dyDescent="0.25">
      <c r="A1079" t="s">
        <v>461</v>
      </c>
    </row>
    <row r="1080" spans="1:1" x14ac:dyDescent="0.25">
      <c r="A1080" t="s">
        <v>462</v>
      </c>
    </row>
    <row r="1081" spans="1:1" x14ac:dyDescent="0.25">
      <c r="A1081" t="s">
        <v>87</v>
      </c>
    </row>
    <row r="1082" spans="1:1" x14ac:dyDescent="0.25">
      <c r="A1082" t="s">
        <v>131</v>
      </c>
    </row>
    <row r="1083" spans="1:1" x14ac:dyDescent="0.25">
      <c r="A1083" t="s">
        <v>463</v>
      </c>
    </row>
    <row r="1084" spans="1:1" x14ac:dyDescent="0.25">
      <c r="A1084" t="s">
        <v>90</v>
      </c>
    </row>
    <row r="1085" spans="1:1" x14ac:dyDescent="0.25">
      <c r="A1085" t="e">
        <f>------наемники</f>
        <v>#NAME?</v>
      </c>
    </row>
    <row r="1086" spans="1:1" x14ac:dyDescent="0.25">
      <c r="A1086" t="s">
        <v>94</v>
      </c>
    </row>
    <row r="1087" spans="1:1" x14ac:dyDescent="0.25">
      <c r="A1087" t="s">
        <v>464</v>
      </c>
    </row>
    <row r="1088" spans="1:1" x14ac:dyDescent="0.25">
      <c r="A1088" t="s">
        <v>465</v>
      </c>
    </row>
    <row r="1089" spans="1:1" x14ac:dyDescent="0.25">
      <c r="A1089" t="s">
        <v>466</v>
      </c>
    </row>
    <row r="1090" spans="1:1" x14ac:dyDescent="0.25">
      <c r="A1090" t="s">
        <v>97</v>
      </c>
    </row>
    <row r="1091" spans="1:1" x14ac:dyDescent="0.25">
      <c r="A1091" t="s">
        <v>467</v>
      </c>
    </row>
    <row r="1092" spans="1:1" x14ac:dyDescent="0.25">
      <c r="A1092" t="s">
        <v>468</v>
      </c>
    </row>
    <row r="1093" spans="1:1" x14ac:dyDescent="0.25">
      <c r="A1093" t="s">
        <v>100</v>
      </c>
    </row>
    <row r="1094" spans="1:1" x14ac:dyDescent="0.25">
      <c r="A1094" t="s">
        <v>469</v>
      </c>
    </row>
    <row r="1095" spans="1:1" x14ac:dyDescent="0.25">
      <c r="A1095" t="s">
        <v>103</v>
      </c>
    </row>
    <row r="1096" spans="1:1" x14ac:dyDescent="0.25">
      <c r="A1096" t="s">
        <v>470</v>
      </c>
    </row>
    <row r="1097" spans="1:1" x14ac:dyDescent="0.25">
      <c r="A1097" t="s">
        <v>106</v>
      </c>
    </row>
    <row r="1098" spans="1:1" x14ac:dyDescent="0.25">
      <c r="A1098" t="s">
        <v>471</v>
      </c>
    </row>
    <row r="1099" spans="1:1" x14ac:dyDescent="0.25">
      <c r="A1099" t="s">
        <v>472</v>
      </c>
    </row>
    <row r="1100" spans="1:1" x14ac:dyDescent="0.25">
      <c r="A1100" t="s">
        <v>115</v>
      </c>
    </row>
    <row r="1101" spans="1:1" x14ac:dyDescent="0.25">
      <c r="A1101" t="s">
        <v>473</v>
      </c>
    </row>
    <row r="1102" spans="1:1" x14ac:dyDescent="0.25">
      <c r="A1102" t="s">
        <v>474</v>
      </c>
    </row>
    <row r="1103" spans="1:1" x14ac:dyDescent="0.25">
      <c r="A1103" t="s">
        <v>119</v>
      </c>
    </row>
    <row r="1104" spans="1:1" x14ac:dyDescent="0.25">
      <c r="A1104" t="s">
        <v>475</v>
      </c>
    </row>
    <row r="1105" spans="1:1" x14ac:dyDescent="0.25">
      <c r="A1105" t="s">
        <v>159</v>
      </c>
    </row>
    <row r="1106" spans="1:1" x14ac:dyDescent="0.25">
      <c r="A1106" t="s">
        <v>476</v>
      </c>
    </row>
    <row r="1107" spans="1:1" x14ac:dyDescent="0.25">
      <c r="A1107" t="s">
        <v>477</v>
      </c>
    </row>
    <row r="1108" spans="1:1" x14ac:dyDescent="0.25">
      <c r="A1108" t="s">
        <v>124</v>
      </c>
    </row>
    <row r="1109" spans="1:1" x14ac:dyDescent="0.25">
      <c r="A1109" t="s">
        <v>574</v>
      </c>
    </row>
    <row r="1110" spans="1:1" x14ac:dyDescent="0.25">
      <c r="A1110" t="s">
        <v>575</v>
      </c>
    </row>
    <row r="1111" spans="1:1" x14ac:dyDescent="0.25">
      <c r="A1111" t="s">
        <v>576</v>
      </c>
    </row>
    <row r="1112" spans="1:1" x14ac:dyDescent="0.25">
      <c r="A1112" t="s">
        <v>126</v>
      </c>
    </row>
    <row r="1113" spans="1:1" x14ac:dyDescent="0.25">
      <c r="A1113" t="s">
        <v>478</v>
      </c>
    </row>
    <row r="1114" spans="1:1" x14ac:dyDescent="0.25">
      <c r="A1114" t="s">
        <v>479</v>
      </c>
    </row>
    <row r="1115" spans="1:1" x14ac:dyDescent="0.25">
      <c r="A1115" t="s">
        <v>127</v>
      </c>
    </row>
    <row r="1117" spans="1:1" x14ac:dyDescent="0.25">
      <c r="A1117" t="s">
        <v>496</v>
      </c>
    </row>
    <row r="1118" spans="1:1" x14ac:dyDescent="0.25">
      <c r="A1118" t="s">
        <v>83</v>
      </c>
    </row>
    <row r="1120" spans="1:1" x14ac:dyDescent="0.25">
      <c r="A1120" t="s">
        <v>87</v>
      </c>
    </row>
    <row r="1121" spans="1:1" x14ac:dyDescent="0.25">
      <c r="A1121" t="s">
        <v>131</v>
      </c>
    </row>
    <row r="1123" spans="1:1" x14ac:dyDescent="0.25">
      <c r="A1123" t="s">
        <v>90</v>
      </c>
    </row>
    <row r="1125" spans="1:1" x14ac:dyDescent="0.25">
      <c r="A1125" t="s">
        <v>94</v>
      </c>
    </row>
    <row r="1127" spans="1:1" x14ac:dyDescent="0.25">
      <c r="A1127" t="s">
        <v>97</v>
      </c>
    </row>
    <row r="1129" spans="1:1" x14ac:dyDescent="0.25">
      <c r="A1129" t="s">
        <v>100</v>
      </c>
    </row>
    <row r="1131" spans="1:1" x14ac:dyDescent="0.25">
      <c r="A1131" t="s">
        <v>103</v>
      </c>
    </row>
    <row r="1133" spans="1:1" x14ac:dyDescent="0.25">
      <c r="A1133" t="s">
        <v>106</v>
      </c>
    </row>
    <row r="1135" spans="1:1" x14ac:dyDescent="0.25">
      <c r="A1135" t="s">
        <v>115</v>
      </c>
    </row>
    <row r="1136" spans="1:1" x14ac:dyDescent="0.25">
      <c r="A1136" t="s">
        <v>223</v>
      </c>
    </row>
    <row r="1137" spans="1:1" x14ac:dyDescent="0.25">
      <c r="A1137" t="s">
        <v>119</v>
      </c>
    </row>
    <row r="1139" spans="1:1" x14ac:dyDescent="0.25">
      <c r="A1139" t="s">
        <v>159</v>
      </c>
    </row>
    <row r="1141" spans="1:1" x14ac:dyDescent="0.25">
      <c r="A1141" t="s">
        <v>124</v>
      </c>
    </row>
    <row r="1143" spans="1:1" x14ac:dyDescent="0.25">
      <c r="A1143" t="s">
        <v>126</v>
      </c>
    </row>
    <row r="1145" spans="1:1" x14ac:dyDescent="0.25">
      <c r="A1145" t="s">
        <v>127</v>
      </c>
    </row>
    <row r="1147" spans="1:1" x14ac:dyDescent="0.25">
      <c r="A1147" t="s">
        <v>577</v>
      </c>
    </row>
    <row r="1148" spans="1:1" x14ac:dyDescent="0.25">
      <c r="A1148" t="s">
        <v>83</v>
      </c>
    </row>
    <row r="1150" spans="1:1" x14ac:dyDescent="0.25">
      <c r="A1150" t="s">
        <v>87</v>
      </c>
    </row>
    <row r="1151" spans="1:1" x14ac:dyDescent="0.25">
      <c r="A1151" t="s">
        <v>131</v>
      </c>
    </row>
    <row r="1153" spans="1:1" x14ac:dyDescent="0.25">
      <c r="A1153" t="s">
        <v>90</v>
      </c>
    </row>
    <row r="1155" spans="1:1" x14ac:dyDescent="0.25">
      <c r="A1155" t="s">
        <v>94</v>
      </c>
    </row>
    <row r="1157" spans="1:1" x14ac:dyDescent="0.25">
      <c r="A1157" t="s">
        <v>97</v>
      </c>
    </row>
    <row r="1159" spans="1:1" x14ac:dyDescent="0.25">
      <c r="A1159" t="s">
        <v>100</v>
      </c>
    </row>
    <row r="1161" spans="1:1" x14ac:dyDescent="0.25">
      <c r="A1161" t="s">
        <v>103</v>
      </c>
    </row>
    <row r="1163" spans="1:1" x14ac:dyDescent="0.25">
      <c r="A1163" t="s">
        <v>106</v>
      </c>
    </row>
    <row r="1165" spans="1:1" x14ac:dyDescent="0.25">
      <c r="A1165" t="s">
        <v>115</v>
      </c>
    </row>
    <row r="1166" spans="1:1" x14ac:dyDescent="0.25">
      <c r="A1166" t="s">
        <v>223</v>
      </c>
    </row>
    <row r="1167" spans="1:1" x14ac:dyDescent="0.25">
      <c r="A1167" t="s">
        <v>119</v>
      </c>
    </row>
    <row r="1169" spans="1:1" x14ac:dyDescent="0.25">
      <c r="A1169" t="s">
        <v>159</v>
      </c>
    </row>
    <row r="1171" spans="1:1" x14ac:dyDescent="0.25">
      <c r="A1171" t="s">
        <v>124</v>
      </c>
    </row>
    <row r="1173" spans="1:1" x14ac:dyDescent="0.25">
      <c r="A1173" t="s">
        <v>126</v>
      </c>
    </row>
    <row r="1175" spans="1:1" x14ac:dyDescent="0.25">
      <c r="A1175" t="s">
        <v>127</v>
      </c>
    </row>
    <row r="1182" spans="1:1" x14ac:dyDescent="0.25">
      <c r="A1182" t="s">
        <v>69</v>
      </c>
    </row>
    <row r="1183" spans="1:1" x14ac:dyDescent="0.25">
      <c r="A1183" t="s">
        <v>132</v>
      </c>
    </row>
    <row r="1184" spans="1:1" x14ac:dyDescent="0.25">
      <c r="A1184" t="s">
        <v>83</v>
      </c>
    </row>
    <row r="1185" spans="1:1" x14ac:dyDescent="0.25">
      <c r="A1185" t="s">
        <v>480</v>
      </c>
    </row>
    <row r="1186" spans="1:1" x14ac:dyDescent="0.25">
      <c r="A1186" t="s">
        <v>133</v>
      </c>
    </row>
    <row r="1187" spans="1:1" x14ac:dyDescent="0.25">
      <c r="A1187" t="s">
        <v>134</v>
      </c>
    </row>
    <row r="1188" spans="1:1" x14ac:dyDescent="0.25">
      <c r="A1188" t="s">
        <v>135</v>
      </c>
    </row>
    <row r="1189" spans="1:1" x14ac:dyDescent="0.25">
      <c r="A1189" t="s">
        <v>136</v>
      </c>
    </row>
    <row r="1190" spans="1:1" x14ac:dyDescent="0.25">
      <c r="A1190" t="s">
        <v>137</v>
      </c>
    </row>
    <row r="1191" spans="1:1" x14ac:dyDescent="0.25">
      <c r="A1191" t="s">
        <v>179</v>
      </c>
    </row>
    <row r="1192" spans="1:1" x14ac:dyDescent="0.25">
      <c r="A1192" t="s">
        <v>578</v>
      </c>
    </row>
    <row r="1193" spans="1:1" x14ac:dyDescent="0.25">
      <c r="A1193" t="s">
        <v>207</v>
      </c>
    </row>
    <row r="1194" spans="1:1" x14ac:dyDescent="0.25">
      <c r="A1194" t="s">
        <v>208</v>
      </c>
    </row>
    <row r="1195" spans="1:1" x14ac:dyDescent="0.25">
      <c r="A1195" t="s">
        <v>209</v>
      </c>
    </row>
    <row r="1196" spans="1:1" x14ac:dyDescent="0.25">
      <c r="A1196" t="s">
        <v>210</v>
      </c>
    </row>
    <row r="1197" spans="1:1" x14ac:dyDescent="0.25">
      <c r="A1197" t="s">
        <v>211</v>
      </c>
    </row>
    <row r="1198" spans="1:1" x14ac:dyDescent="0.25">
      <c r="A1198" t="s">
        <v>212</v>
      </c>
    </row>
    <row r="1199" spans="1:1" x14ac:dyDescent="0.25">
      <c r="A1199" t="s">
        <v>213</v>
      </c>
    </row>
    <row r="1200" spans="1:1" x14ac:dyDescent="0.25">
      <c r="A1200" t="s">
        <v>214</v>
      </c>
    </row>
    <row r="1201" spans="1:1" x14ac:dyDescent="0.25">
      <c r="A1201" t="s">
        <v>481</v>
      </c>
    </row>
    <row r="1202" spans="1:1" x14ac:dyDescent="0.25">
      <c r="A1202" t="s">
        <v>482</v>
      </c>
    </row>
    <row r="1203" spans="1:1" x14ac:dyDescent="0.25">
      <c r="A1203" t="s">
        <v>483</v>
      </c>
    </row>
    <row r="1204" spans="1:1" x14ac:dyDescent="0.25">
      <c r="A1204" t="s">
        <v>484</v>
      </c>
    </row>
    <row r="1205" spans="1:1" x14ac:dyDescent="0.25">
      <c r="A1205" t="s">
        <v>485</v>
      </c>
    </row>
    <row r="1206" spans="1:1" x14ac:dyDescent="0.25">
      <c r="A1206" t="s">
        <v>486</v>
      </c>
    </row>
    <row r="1207" spans="1:1" x14ac:dyDescent="0.25">
      <c r="A1207" t="s">
        <v>487</v>
      </c>
    </row>
    <row r="1208" spans="1:1" x14ac:dyDescent="0.25">
      <c r="A1208" t="s">
        <v>488</v>
      </c>
    </row>
    <row r="1209" spans="1:1" x14ac:dyDescent="0.25">
      <c r="A1209" t="s">
        <v>489</v>
      </c>
    </row>
    <row r="1210" spans="1:1" x14ac:dyDescent="0.25">
      <c r="A1210" t="s">
        <v>490</v>
      </c>
    </row>
    <row r="1211" spans="1:1" x14ac:dyDescent="0.25">
      <c r="A1211" t="s">
        <v>491</v>
      </c>
    </row>
    <row r="1212" spans="1:1" x14ac:dyDescent="0.25">
      <c r="A1212" t="s">
        <v>492</v>
      </c>
    </row>
    <row r="1213" spans="1:1" x14ac:dyDescent="0.25">
      <c r="A1213" t="s">
        <v>493</v>
      </c>
    </row>
    <row r="1214" spans="1:1" x14ac:dyDescent="0.25">
      <c r="A1214" t="s">
        <v>579</v>
      </c>
    </row>
    <row r="1215" spans="1:1" x14ac:dyDescent="0.25">
      <c r="A1215" t="s">
        <v>494</v>
      </c>
    </row>
    <row r="1216" spans="1:1" x14ac:dyDescent="0.25">
      <c r="A1216" t="s">
        <v>495</v>
      </c>
    </row>
    <row r="1217" spans="1:1" x14ac:dyDescent="0.25">
      <c r="A1217" t="s">
        <v>164</v>
      </c>
    </row>
    <row r="1218" spans="1:1" x14ac:dyDescent="0.25">
      <c r="A1218" t="s">
        <v>497</v>
      </c>
    </row>
    <row r="1219" spans="1:1" x14ac:dyDescent="0.25">
      <c r="A1219" t="s">
        <v>498</v>
      </c>
    </row>
    <row r="1220" spans="1:1" x14ac:dyDescent="0.25">
      <c r="A1220" t="s">
        <v>499</v>
      </c>
    </row>
    <row r="1221" spans="1:1" x14ac:dyDescent="0.25">
      <c r="A1221" t="s">
        <v>500</v>
      </c>
    </row>
    <row r="1222" spans="1:1" x14ac:dyDescent="0.25">
      <c r="A1222" t="s">
        <v>501</v>
      </c>
    </row>
    <row r="1223" spans="1:1" x14ac:dyDescent="0.25">
      <c r="A1223" t="s">
        <v>502</v>
      </c>
    </row>
    <row r="1224" spans="1:1" x14ac:dyDescent="0.25">
      <c r="A1224" t="s">
        <v>503</v>
      </c>
    </row>
    <row r="1225" spans="1:1" x14ac:dyDescent="0.25">
      <c r="A1225" t="s">
        <v>504</v>
      </c>
    </row>
    <row r="1226" spans="1:1" x14ac:dyDescent="0.25">
      <c r="A1226" t="s">
        <v>505</v>
      </c>
    </row>
    <row r="1227" spans="1:1" x14ac:dyDescent="0.25">
      <c r="A1227" t="s">
        <v>257</v>
      </c>
    </row>
    <row r="1228" spans="1:1" x14ac:dyDescent="0.25">
      <c r="A1228" t="s">
        <v>506</v>
      </c>
    </row>
    <row r="1229" spans="1:1" x14ac:dyDescent="0.25">
      <c r="A1229" t="s">
        <v>507</v>
      </c>
    </row>
    <row r="1230" spans="1:1" x14ac:dyDescent="0.25">
      <c r="A1230" t="s">
        <v>508</v>
      </c>
    </row>
    <row r="1231" spans="1:1" x14ac:dyDescent="0.25">
      <c r="A1231" t="s">
        <v>509</v>
      </c>
    </row>
    <row r="1232" spans="1:1" x14ac:dyDescent="0.25">
      <c r="A1232" t="s">
        <v>510</v>
      </c>
    </row>
    <row r="1233" spans="1:1" x14ac:dyDescent="0.25">
      <c r="A1233" t="s">
        <v>511</v>
      </c>
    </row>
    <row r="1234" spans="1:1" x14ac:dyDescent="0.25">
      <c r="A1234" t="s">
        <v>258</v>
      </c>
    </row>
    <row r="1235" spans="1:1" x14ac:dyDescent="0.25">
      <c r="A1235" t="s">
        <v>512</v>
      </c>
    </row>
    <row r="1236" spans="1:1" x14ac:dyDescent="0.25">
      <c r="A1236" t="s">
        <v>513</v>
      </c>
    </row>
    <row r="1237" spans="1:1" x14ac:dyDescent="0.25">
      <c r="A1237" t="s">
        <v>580</v>
      </c>
    </row>
    <row r="1238" spans="1:1" x14ac:dyDescent="0.25">
      <c r="A1238" t="s">
        <v>581</v>
      </c>
    </row>
    <row r="1239" spans="1:1" x14ac:dyDescent="0.25">
      <c r="A1239" t="s">
        <v>582</v>
      </c>
    </row>
    <row r="1240" spans="1:1" x14ac:dyDescent="0.25">
      <c r="A1240" t="s">
        <v>583</v>
      </c>
    </row>
    <row r="1241" spans="1:1" x14ac:dyDescent="0.25">
      <c r="A1241" t="s">
        <v>514</v>
      </c>
    </row>
    <row r="1242" spans="1:1" x14ac:dyDescent="0.25">
      <c r="A1242" t="s">
        <v>383</v>
      </c>
    </row>
    <row r="1243" spans="1:1" x14ac:dyDescent="0.25">
      <c r="A1243" t="s">
        <v>515</v>
      </c>
    </row>
    <row r="1244" spans="1:1" x14ac:dyDescent="0.25">
      <c r="A1244" t="s">
        <v>516</v>
      </c>
    </row>
    <row r="1245" spans="1:1" x14ac:dyDescent="0.25">
      <c r="A1245" t="s">
        <v>517</v>
      </c>
    </row>
    <row r="1246" spans="1:1" x14ac:dyDescent="0.25">
      <c r="A1246" t="s">
        <v>518</v>
      </c>
    </row>
    <row r="1247" spans="1:1" x14ac:dyDescent="0.25">
      <c r="A1247" t="s">
        <v>519</v>
      </c>
    </row>
    <row r="1248" spans="1:1" x14ac:dyDescent="0.25">
      <c r="A1248" t="s">
        <v>520</v>
      </c>
    </row>
    <row r="1249" spans="1:1" x14ac:dyDescent="0.25">
      <c r="A1249" t="s">
        <v>521</v>
      </c>
    </row>
    <row r="1250" spans="1:1" x14ac:dyDescent="0.25">
      <c r="A1250" t="s">
        <v>522</v>
      </c>
    </row>
    <row r="1251" spans="1:1" x14ac:dyDescent="0.25">
      <c r="A1251" t="s">
        <v>523</v>
      </c>
    </row>
    <row r="1252" spans="1:1" x14ac:dyDescent="0.25">
      <c r="A1252" t="s">
        <v>524</v>
      </c>
    </row>
    <row r="1253" spans="1:1" x14ac:dyDescent="0.25">
      <c r="A1253" t="s">
        <v>525</v>
      </c>
    </row>
    <row r="1254" spans="1:1" x14ac:dyDescent="0.25">
      <c r="A1254" t="s">
        <v>526</v>
      </c>
    </row>
    <row r="1255" spans="1:1" x14ac:dyDescent="0.25">
      <c r="A1255">
        <v>50</v>
      </c>
    </row>
    <row r="1256" spans="1:1" x14ac:dyDescent="0.25">
      <c r="A1256">
        <v>51</v>
      </c>
    </row>
    <row r="1257" spans="1:1" x14ac:dyDescent="0.25">
      <c r="A1257">
        <v>52</v>
      </c>
    </row>
    <row r="1258" spans="1:1" x14ac:dyDescent="0.25">
      <c r="A1258">
        <v>53</v>
      </c>
    </row>
    <row r="1259" spans="1:1" x14ac:dyDescent="0.25">
      <c r="A1259">
        <v>54</v>
      </c>
    </row>
    <row r="1260" spans="1:1" x14ac:dyDescent="0.25">
      <c r="A1260">
        <v>55</v>
      </c>
    </row>
    <row r="1261" spans="1:1" x14ac:dyDescent="0.25">
      <c r="A1261">
        <v>56</v>
      </c>
    </row>
    <row r="1262" spans="1:1" x14ac:dyDescent="0.25">
      <c r="A1262">
        <v>57</v>
      </c>
    </row>
    <row r="1263" spans="1:1" x14ac:dyDescent="0.25">
      <c r="A1263">
        <v>58</v>
      </c>
    </row>
    <row r="1264" spans="1:1" x14ac:dyDescent="0.25">
      <c r="A1264">
        <v>59</v>
      </c>
    </row>
    <row r="1265" spans="1:1" x14ac:dyDescent="0.25">
      <c r="A1265">
        <v>60</v>
      </c>
    </row>
    <row r="1266" spans="1:1" x14ac:dyDescent="0.25">
      <c r="A1266">
        <v>61</v>
      </c>
    </row>
    <row r="1267" spans="1:1" x14ac:dyDescent="0.25">
      <c r="A1267">
        <v>62</v>
      </c>
    </row>
    <row r="1268" spans="1:1" x14ac:dyDescent="0.25">
      <c r="A1268">
        <v>63</v>
      </c>
    </row>
    <row r="1269" spans="1:1" x14ac:dyDescent="0.25">
      <c r="A1269">
        <v>64</v>
      </c>
    </row>
    <row r="1270" spans="1:1" x14ac:dyDescent="0.25">
      <c r="A1270">
        <v>65</v>
      </c>
    </row>
    <row r="1271" spans="1:1" x14ac:dyDescent="0.25">
      <c r="A1271">
        <v>66</v>
      </c>
    </row>
    <row r="1272" spans="1:1" x14ac:dyDescent="0.25">
      <c r="A1272">
        <v>67</v>
      </c>
    </row>
    <row r="1273" spans="1:1" x14ac:dyDescent="0.25">
      <c r="A1273">
        <v>68</v>
      </c>
    </row>
    <row r="1274" spans="1:1" x14ac:dyDescent="0.25">
      <c r="A1274">
        <v>69</v>
      </c>
    </row>
    <row r="1275" spans="1:1" x14ac:dyDescent="0.25">
      <c r="A1275">
        <v>70</v>
      </c>
    </row>
    <row r="1276" spans="1:1" x14ac:dyDescent="0.25">
      <c r="A1276">
        <v>71</v>
      </c>
    </row>
    <row r="1277" spans="1:1" x14ac:dyDescent="0.25">
      <c r="A1277">
        <v>72</v>
      </c>
    </row>
    <row r="1278" spans="1:1" x14ac:dyDescent="0.25">
      <c r="A1278">
        <v>73</v>
      </c>
    </row>
    <row r="1279" spans="1:1" x14ac:dyDescent="0.25">
      <c r="A1279">
        <v>74</v>
      </c>
    </row>
    <row r="1280" spans="1:1" x14ac:dyDescent="0.25">
      <c r="A1280">
        <v>75</v>
      </c>
    </row>
    <row r="1281" spans="1:1" x14ac:dyDescent="0.25">
      <c r="A1281">
        <v>76</v>
      </c>
    </row>
    <row r="1282" spans="1:1" x14ac:dyDescent="0.25">
      <c r="A1282">
        <v>77</v>
      </c>
    </row>
    <row r="1283" spans="1:1" x14ac:dyDescent="0.25">
      <c r="A1283">
        <v>78</v>
      </c>
    </row>
    <row r="1284" spans="1:1" x14ac:dyDescent="0.25">
      <c r="A1284">
        <v>79</v>
      </c>
    </row>
    <row r="1285" spans="1:1" x14ac:dyDescent="0.25">
      <c r="A1285">
        <v>80</v>
      </c>
    </row>
    <row r="1286" spans="1:1" x14ac:dyDescent="0.25">
      <c r="A1286">
        <v>81</v>
      </c>
    </row>
    <row r="1287" spans="1:1" x14ac:dyDescent="0.25">
      <c r="A1287">
        <v>82</v>
      </c>
    </row>
    <row r="1288" spans="1:1" x14ac:dyDescent="0.25">
      <c r="A1288">
        <v>83</v>
      </c>
    </row>
    <row r="1289" spans="1:1" x14ac:dyDescent="0.25">
      <c r="A1289">
        <v>84</v>
      </c>
    </row>
    <row r="1290" spans="1:1" x14ac:dyDescent="0.25">
      <c r="A1290">
        <v>85</v>
      </c>
    </row>
    <row r="1291" spans="1:1" x14ac:dyDescent="0.25">
      <c r="A1291">
        <v>86</v>
      </c>
    </row>
    <row r="1292" spans="1:1" x14ac:dyDescent="0.25">
      <c r="A1292">
        <v>87</v>
      </c>
    </row>
    <row r="1293" spans="1:1" x14ac:dyDescent="0.25">
      <c r="A1293">
        <v>88</v>
      </c>
    </row>
    <row r="1294" spans="1:1" x14ac:dyDescent="0.25">
      <c r="A1294">
        <v>89</v>
      </c>
    </row>
    <row r="1295" spans="1:1" x14ac:dyDescent="0.25">
      <c r="A1295">
        <v>90</v>
      </c>
    </row>
    <row r="1296" spans="1:1" x14ac:dyDescent="0.25">
      <c r="A1296">
        <v>91</v>
      </c>
    </row>
    <row r="1297" spans="1:1" x14ac:dyDescent="0.25">
      <c r="A1297">
        <v>92</v>
      </c>
    </row>
    <row r="1298" spans="1:1" x14ac:dyDescent="0.25">
      <c r="A1298">
        <v>93</v>
      </c>
    </row>
    <row r="1299" spans="1:1" x14ac:dyDescent="0.25">
      <c r="A1299">
        <v>94</v>
      </c>
    </row>
    <row r="1300" spans="1:1" x14ac:dyDescent="0.25">
      <c r="A1300">
        <v>95</v>
      </c>
    </row>
    <row r="1301" spans="1:1" x14ac:dyDescent="0.25">
      <c r="A1301">
        <v>96</v>
      </c>
    </row>
    <row r="1302" spans="1:1" x14ac:dyDescent="0.25">
      <c r="A1302">
        <v>97</v>
      </c>
    </row>
    <row r="1303" spans="1:1" x14ac:dyDescent="0.25">
      <c r="A1303">
        <v>98</v>
      </c>
    </row>
    <row r="1304" spans="1:1" x14ac:dyDescent="0.25">
      <c r="A1304">
        <v>99</v>
      </c>
    </row>
    <row r="1305" spans="1:1" x14ac:dyDescent="0.25">
      <c r="A1305">
        <v>100</v>
      </c>
    </row>
    <row r="1306" spans="1:1" x14ac:dyDescent="0.25">
      <c r="A1306" t="s">
        <v>127</v>
      </c>
    </row>
    <row r="1308" spans="1:1" x14ac:dyDescent="0.25">
      <c r="A1308" t="s">
        <v>284</v>
      </c>
    </row>
    <row r="1309" spans="1:1" x14ac:dyDescent="0.25">
      <c r="A1309" t="s">
        <v>83</v>
      </c>
    </row>
    <row r="1310" spans="1:1" x14ac:dyDescent="0.25">
      <c r="A1310" t="s">
        <v>285</v>
      </c>
    </row>
    <row r="1311" spans="1:1" x14ac:dyDescent="0.25">
      <c r="A1311" t="s">
        <v>286</v>
      </c>
    </row>
    <row r="1312" spans="1:1" x14ac:dyDescent="0.25">
      <c r="A1312" t="s">
        <v>287</v>
      </c>
    </row>
    <row r="1313" spans="1:1" x14ac:dyDescent="0.25">
      <c r="A1313" t="s">
        <v>288</v>
      </c>
    </row>
    <row r="1314" spans="1:1" x14ac:dyDescent="0.25">
      <c r="A1314" t="s">
        <v>584</v>
      </c>
    </row>
    <row r="1315" spans="1:1" x14ac:dyDescent="0.25">
      <c r="A1315" t="s">
        <v>453</v>
      </c>
    </row>
    <row r="1316" spans="1:1" x14ac:dyDescent="0.25">
      <c r="A1316" t="s">
        <v>454</v>
      </c>
    </row>
    <row r="1317" spans="1:1" x14ac:dyDescent="0.25">
      <c r="A1317" t="s">
        <v>455</v>
      </c>
    </row>
    <row r="1320" spans="1:1" x14ac:dyDescent="0.25">
      <c r="A1320" t="s">
        <v>127</v>
      </c>
    </row>
    <row r="1323" spans="1:1" x14ac:dyDescent="0.25">
      <c r="A1323" t="s">
        <v>585</v>
      </c>
    </row>
    <row r="1324" spans="1:1" x14ac:dyDescent="0.25">
      <c r="A1324" t="s">
        <v>586</v>
      </c>
    </row>
    <row r="1325" spans="1:1" x14ac:dyDescent="0.25">
      <c r="A1325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units</vt:lpstr>
      <vt:lpstr>Tables</vt:lpstr>
      <vt:lpstr>Description of columns </vt:lpstr>
      <vt:lpstr>stat_pri(sec)</vt:lpstr>
      <vt:lpstr>Лист6</vt:lpstr>
      <vt:lpstr>Лист1</vt:lpstr>
      <vt:lpstr>Лист2</vt:lpstr>
      <vt:lpstr>Лист3</vt:lpstr>
      <vt:lpstr>Лист4</vt:lpstr>
      <vt:lpstr>Лист7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2021-06-28T20:47:14Z</dcterms:modified>
</cp:coreProperties>
</file>