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2ºANO/2ºSEMESTRE/RCOMP(32230)/MOODLE/Sprints/Sprint 1/"/>
    </mc:Choice>
  </mc:AlternateContent>
  <xr:revisionPtr revIDLastSave="0" documentId="8_{4A102AAC-0C98-4E48-B4E2-BB689C460E4F}" xr6:coauthVersionLast="46" xr6:coauthVersionMax="46" xr10:uidLastSave="{00000000-0000-0000-0000-000000000000}"/>
  <bookViews>
    <workbookView xWindow="-108" yWindow="-108" windowWidth="23256" windowHeight="12576" firstSheet="5" activeTab="5" xr2:uid="{47DF311B-53C5-4E80-A2E3-9BD2EB0C4748}"/>
  </bookViews>
  <sheets>
    <sheet name="CAMPUS" sheetId="5" r:id="rId1"/>
    <sheet name="BUILDING 1" sheetId="1" r:id="rId2"/>
    <sheet name="BUILDING 2" sheetId="2" r:id="rId3"/>
    <sheet name="BUILDING 3" sheetId="3" r:id="rId4"/>
    <sheet name="BUILDING 4" sheetId="4" r:id="rId5"/>
    <sheet name="BUILDING 5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8" i="5" l="1"/>
  <c r="V41" i="5"/>
  <c r="V42" i="5"/>
  <c r="V43" i="5"/>
  <c r="V44" i="5"/>
  <c r="V40" i="5"/>
  <c r="T44" i="5"/>
  <c r="T43" i="5"/>
  <c r="T42" i="5"/>
  <c r="U41" i="5"/>
  <c r="U42" i="5"/>
  <c r="U43" i="5"/>
  <c r="U44" i="5"/>
  <c r="U40" i="5"/>
  <c r="T41" i="5"/>
  <c r="T40" i="5"/>
  <c r="K183" i="1"/>
  <c r="K170" i="1"/>
  <c r="N176" i="1"/>
  <c r="F176" i="1"/>
  <c r="V169" i="1"/>
  <c r="X169" i="1" s="1"/>
  <c r="X171" i="1" s="1"/>
  <c r="Q169" i="1"/>
  <c r="R169" i="1" s="1"/>
  <c r="I169" i="1"/>
  <c r="K169" i="1" s="1"/>
  <c r="K171" i="1" s="1"/>
  <c r="K172" i="1" s="1"/>
  <c r="D169" i="1"/>
  <c r="E169" i="1" s="1"/>
  <c r="P11" i="3"/>
  <c r="F27" i="4"/>
  <c r="F14" i="4"/>
  <c r="C20" i="1"/>
  <c r="N37" i="3"/>
  <c r="N36" i="3"/>
  <c r="Y30" i="3"/>
  <c r="Y29" i="3"/>
  <c r="X24" i="3"/>
  <c r="X23" i="3"/>
  <c r="X25" i="3"/>
  <c r="P30" i="3"/>
  <c r="N30" i="3"/>
  <c r="P29" i="3"/>
  <c r="N29" i="3"/>
  <c r="P28" i="3"/>
  <c r="N28" i="3"/>
  <c r="P27" i="3"/>
  <c r="N27" i="3"/>
  <c r="P26" i="3"/>
  <c r="N26" i="3"/>
  <c r="P25" i="3"/>
  <c r="N25" i="3"/>
  <c r="P24" i="3"/>
  <c r="N24" i="3"/>
  <c r="P23" i="3"/>
  <c r="N23" i="3"/>
  <c r="P12" i="3"/>
  <c r="N12" i="3"/>
  <c r="Q12" i="3"/>
  <c r="S12" i="3" s="1"/>
  <c r="C13" i="4"/>
  <c r="Y14" i="3"/>
  <c r="Y13" i="3"/>
  <c r="Y15" i="3" s="1"/>
  <c r="N16" i="3"/>
  <c r="N15" i="3"/>
  <c r="N17" i="3" s="1"/>
  <c r="F22" i="4"/>
  <c r="F23" i="4"/>
  <c r="F24" i="4"/>
  <c r="F21" i="4"/>
  <c r="F9" i="4"/>
  <c r="F10" i="4"/>
  <c r="F11" i="4"/>
  <c r="F8" i="4"/>
  <c r="Y8" i="3"/>
  <c r="Y7" i="3"/>
  <c r="Y9" i="3" s="1"/>
  <c r="N6" i="3"/>
  <c r="N11" i="3"/>
  <c r="P10" i="3"/>
  <c r="N10" i="3"/>
  <c r="P9" i="3"/>
  <c r="N9" i="3"/>
  <c r="P8" i="3"/>
  <c r="N8" i="3"/>
  <c r="P7" i="3"/>
  <c r="N7" i="3"/>
  <c r="P6" i="3"/>
  <c r="Q11" i="3"/>
  <c r="Q30" i="3"/>
  <c r="Q29" i="3"/>
  <c r="Q28" i="3"/>
  <c r="Q23" i="3"/>
  <c r="Q24" i="3"/>
  <c r="Q25" i="3"/>
  <c r="Q26" i="3"/>
  <c r="Q27" i="3"/>
  <c r="AF3" i="1"/>
  <c r="C19" i="1" s="1"/>
  <c r="C14" i="1" s="1"/>
  <c r="Q7" i="3"/>
  <c r="Q8" i="3"/>
  <c r="Q9" i="3"/>
  <c r="Q10" i="3"/>
  <c r="Q6" i="3"/>
  <c r="D26" i="4"/>
  <c r="C26" i="4"/>
  <c r="D25" i="4"/>
  <c r="C25" i="4"/>
  <c r="E25" i="4" s="1"/>
  <c r="D24" i="4"/>
  <c r="D23" i="4"/>
  <c r="C23" i="4"/>
  <c r="C24" i="4"/>
  <c r="E24" i="4" s="1"/>
  <c r="C21" i="4"/>
  <c r="D21" i="4"/>
  <c r="E21" i="4"/>
  <c r="C22" i="4"/>
  <c r="D22" i="4"/>
  <c r="E22" i="4"/>
  <c r="D13" i="4"/>
  <c r="D12" i="4"/>
  <c r="C12" i="4"/>
  <c r="E12" i="4" s="1"/>
  <c r="F12" i="4" s="1"/>
  <c r="C11" i="4"/>
  <c r="D11" i="4"/>
  <c r="D9" i="4"/>
  <c r="D8" i="4"/>
  <c r="D10" i="4"/>
  <c r="C9" i="4"/>
  <c r="C10" i="4"/>
  <c r="E10" i="4" s="1"/>
  <c r="C8" i="4"/>
  <c r="R27" i="3" l="1"/>
  <c r="S27" i="3"/>
  <c r="R26" i="3"/>
  <c r="S26" i="3"/>
  <c r="R25" i="3"/>
  <c r="S25" i="3"/>
  <c r="R24" i="3"/>
  <c r="S24" i="3"/>
  <c r="R23" i="3"/>
  <c r="S23" i="3"/>
  <c r="R28" i="3"/>
  <c r="S28" i="3"/>
  <c r="S29" i="3"/>
  <c r="R6" i="3"/>
  <c r="S6" i="3"/>
  <c r="R10" i="3"/>
  <c r="S10" i="3"/>
  <c r="R9" i="3"/>
  <c r="S9" i="3"/>
  <c r="R8" i="3"/>
  <c r="S8" i="3"/>
  <c r="R7" i="3"/>
  <c r="S7" i="3"/>
  <c r="R11" i="3"/>
  <c r="R13" i="3" s="1"/>
  <c r="S11" i="3"/>
  <c r="D14" i="1"/>
  <c r="Y31" i="3"/>
  <c r="N38" i="3"/>
  <c r="U79" i="1"/>
  <c r="U78" i="1"/>
  <c r="C39" i="1" s="1"/>
  <c r="U70" i="1"/>
  <c r="U69" i="1"/>
  <c r="U60" i="1"/>
  <c r="U59" i="1"/>
  <c r="C37" i="1" s="1"/>
  <c r="D37" i="1" s="1"/>
  <c r="U49" i="1"/>
  <c r="U48" i="1"/>
  <c r="U35" i="1"/>
  <c r="U34" i="1"/>
  <c r="U29" i="1"/>
  <c r="U28" i="1"/>
  <c r="U27" i="1"/>
  <c r="U26" i="1"/>
  <c r="U25" i="1"/>
  <c r="U24" i="1"/>
  <c r="U18" i="1"/>
  <c r="U17" i="1"/>
  <c r="C11" i="1" s="1"/>
  <c r="D11" i="1" s="1"/>
  <c r="U11" i="1"/>
  <c r="U10" i="1"/>
  <c r="E8" i="4"/>
  <c r="E9" i="4"/>
  <c r="E11" i="4"/>
  <c r="E23" i="4"/>
  <c r="R34" i="3" l="1"/>
  <c r="C35" i="1"/>
  <c r="C13" i="1"/>
  <c r="D13" i="1" s="1"/>
  <c r="C12" i="1"/>
  <c r="D12" i="1" s="1"/>
  <c r="C38" i="1"/>
  <c r="D38" i="1" s="1"/>
  <c r="C36" i="1"/>
  <c r="D36" i="1" s="1"/>
  <c r="D17" i="1" l="1"/>
</calcChain>
</file>

<file path=xl/sharedStrings.xml><?xml version="1.0" encoding="utf-8"?>
<sst xmlns="http://schemas.openxmlformats.org/spreadsheetml/2006/main" count="269" uniqueCount="144">
  <si>
    <t>x</t>
  </si>
  <si>
    <t>y</t>
  </si>
  <si>
    <t>X2</t>
  </si>
  <si>
    <t>Verde</t>
  </si>
  <si>
    <t>Roxo</t>
  </si>
  <si>
    <t>Fibra Total</t>
  </si>
  <si>
    <t>m</t>
  </si>
  <si>
    <t>António Fernandes (1190402)</t>
  </si>
  <si>
    <t>3,7 cm equivalem a 10 m</t>
  </si>
  <si>
    <t>conversão:</t>
  </si>
  <si>
    <t>3.7cm=10m</t>
  </si>
  <si>
    <t>Escala: 10 metros equivalem a 3.7 cm</t>
  </si>
  <si>
    <t>ncm=x m</t>
  </si>
  <si>
    <t>cm</t>
  </si>
  <si>
    <t>Floor Zero</t>
  </si>
  <si>
    <t>10.2</t>
  </si>
  <si>
    <t>Conversão</t>
  </si>
  <si>
    <t>Sala</t>
  </si>
  <si>
    <t>área (m^2)</t>
  </si>
  <si>
    <t>outlets(área)*0,2</t>
  </si>
  <si>
    <t>10.1</t>
  </si>
  <si>
    <t>10.3</t>
  </si>
  <si>
    <t>São obrigatórios 5</t>
  </si>
  <si>
    <t>Entrance Desk</t>
  </si>
  <si>
    <t>conversão</t>
  </si>
  <si>
    <t>Entrance</t>
  </si>
  <si>
    <t>Desktop</t>
  </si>
  <si>
    <t>Floor One</t>
  </si>
  <si>
    <t>11.1</t>
  </si>
  <si>
    <t>outlets(área*0,2)</t>
  </si>
  <si>
    <t>11.2</t>
  </si>
  <si>
    <t>11.3</t>
  </si>
  <si>
    <t>11.4</t>
  </si>
  <si>
    <t>11.5</t>
  </si>
  <si>
    <t>MAPAEAMENTO:</t>
  </si>
  <si>
    <t>ESCALA NO PPT</t>
  </si>
  <si>
    <t>5.88CM=10M</t>
  </si>
  <si>
    <t>6,41CM=10M</t>
  </si>
  <si>
    <t>COBRE</t>
  </si>
  <si>
    <t>Fibra</t>
  </si>
  <si>
    <t>Entra.des</t>
  </si>
  <si>
    <t>ap</t>
  </si>
  <si>
    <t>&gt;&gt;</t>
  </si>
  <si>
    <t>cabos que vão sair para
 os outros edifícios a partir do mc</t>
  </si>
  <si>
    <t>&lt;&lt;ap</t>
  </si>
  <si>
    <t>TOTAL=</t>
  </si>
  <si>
    <t>redundância</t>
  </si>
  <si>
    <t>Conversão Usada no piso 0</t>
  </si>
  <si>
    <t>Conversão Usada no piso 1</t>
  </si>
  <si>
    <t>4*4</t>
  </si>
  <si>
    <t>equivale a 4 cabos para os
 4 edifícios (passagem 
para o andar de baixo)</t>
  </si>
  <si>
    <t>Tamanho de cabos</t>
  </si>
  <si>
    <t xml:space="preserve"> no switch</t>
  </si>
  <si>
    <t>Teresa Pereira Leite 1191072</t>
  </si>
  <si>
    <t>conversao</t>
  </si>
  <si>
    <t>10m</t>
  </si>
  <si>
    <t>2,4cm</t>
  </si>
  <si>
    <t>x m</t>
  </si>
  <si>
    <t>y cm</t>
  </si>
  <si>
    <t>ROOM</t>
  </si>
  <si>
    <t>AREA (m^2)</t>
  </si>
  <si>
    <t>NR OUTLETS (area*0,2)</t>
  </si>
  <si>
    <t>4,1*5,8=23,8</t>
  </si>
  <si>
    <t>12,9*7,5=96,8</t>
  </si>
  <si>
    <t>19,4~20</t>
  </si>
  <si>
    <t>14,2*10=142</t>
  </si>
  <si>
    <t>28,4~29--30</t>
  </si>
  <si>
    <t>8,3*18,8=156</t>
  </si>
  <si>
    <t>31,2~32</t>
  </si>
  <si>
    <t>mesa</t>
  </si>
  <si>
    <t>8,3*1,7=14,1</t>
  </si>
  <si>
    <t>5 (obrigatorio)</t>
  </si>
  <si>
    <t>4,6*8,3=38,2</t>
  </si>
  <si>
    <t>7,64~8</t>
  </si>
  <si>
    <t>5*8,3=41,5</t>
  </si>
  <si>
    <t>8,3~9--10</t>
  </si>
  <si>
    <t>5*9,6=48</t>
  </si>
  <si>
    <t>9,6~10</t>
  </si>
  <si>
    <t>6,3*13,3=83,8</t>
  </si>
  <si>
    <t>16,76~17--18</t>
  </si>
  <si>
    <t xml:space="preserve">       21.10.</t>
  </si>
  <si>
    <t>11,3*5=56,5</t>
  </si>
  <si>
    <t>11,3~12</t>
  </si>
  <si>
    <t>NAME</t>
  </si>
  <si>
    <t>Os outlets ligam-se diretamente aos cabos verdes atenção!</t>
  </si>
  <si>
    <t>Escala:</t>
  </si>
  <si>
    <t>Piso Zero</t>
  </si>
  <si>
    <t xml:space="preserve">para </t>
  </si>
  <si>
    <t>metros</t>
  </si>
  <si>
    <t xml:space="preserve">Sala </t>
  </si>
  <si>
    <t>Comprimento m</t>
  </si>
  <si>
    <t>Largura m</t>
  </si>
  <si>
    <t>Área m^2</t>
  </si>
  <si>
    <t>Nr Outlets</t>
  </si>
  <si>
    <t>Nº quadrados 3x3</t>
  </si>
  <si>
    <t>Corredor Lateral entre as salas 30.4 a 30.5</t>
  </si>
  <si>
    <t>Comprimento</t>
  </si>
  <si>
    <t>Largura</t>
  </si>
  <si>
    <t xml:space="preserve">Área </t>
  </si>
  <si>
    <t>m^2</t>
  </si>
  <si>
    <t>Espaço aberto</t>
  </si>
  <si>
    <t>Trás da escada</t>
  </si>
  <si>
    <t>Corredor Vertical entre as salas 30.1 e 30.4</t>
  </si>
  <si>
    <t>Total:</t>
  </si>
  <si>
    <t>Corredor Lateral entre as salas 30.1 a 30.3</t>
  </si>
  <si>
    <t>Retirou-se partes do corredor lateral das salas 30.1 a 30.3</t>
  </si>
  <si>
    <t>Retirou-se partes do corredor lateral das salas 30.4 a 30.5</t>
  </si>
  <si>
    <t>Piso Um</t>
  </si>
  <si>
    <t>Corredor Lateral entre as salas 31.1 a 31.3</t>
  </si>
  <si>
    <t>Corredor Vertical entre as salas 31.1 e 31.4</t>
  </si>
  <si>
    <t>Espaço entre</t>
  </si>
  <si>
    <t>31.4 e 31.5</t>
  </si>
  <si>
    <t xml:space="preserve">atrás das </t>
  </si>
  <si>
    <t>escadas</t>
  </si>
  <si>
    <t>Retirou-se partes do corredor lateral das salas 31.1 a 31.3</t>
  </si>
  <si>
    <t>Retirou-se partes do corredor lateral das salas 31.4 a 31.5</t>
  </si>
  <si>
    <t>Corredor Lateral entre as salas 31.4 a 31.5</t>
  </si>
  <si>
    <t>Escala da Figura:</t>
  </si>
  <si>
    <t>4,25</t>
  </si>
  <si>
    <t>para</t>
  </si>
  <si>
    <t>Rui Soares (1191045)</t>
  </si>
  <si>
    <t xml:space="preserve">Conversão (Ground Floor) </t>
  </si>
  <si>
    <t>Ground Floor</t>
  </si>
  <si>
    <t>Comprimento (m)</t>
  </si>
  <si>
    <t>Largura (m)</t>
  </si>
  <si>
    <t>Área (m^2)</t>
  </si>
  <si>
    <t>Outlets</t>
  </si>
  <si>
    <t>40.1</t>
  </si>
  <si>
    <t>40.2</t>
  </si>
  <si>
    <t>40.3</t>
  </si>
  <si>
    <t>40.4</t>
  </si>
  <si>
    <t>Open Area</t>
  </si>
  <si>
    <t>41.1</t>
  </si>
  <si>
    <t>41.2</t>
  </si>
  <si>
    <t>41.3</t>
  </si>
  <si>
    <t>41.4</t>
  </si>
  <si>
    <t>Paulo Couto 1200587</t>
  </si>
  <si>
    <t>Conversão 5 cm = 10m</t>
  </si>
  <si>
    <t>NR OUTLETS</t>
  </si>
  <si>
    <t>45,6</t>
  </si>
  <si>
    <t>44,82</t>
  </si>
  <si>
    <t>Área aberta</t>
  </si>
  <si>
    <t>1647,2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</si>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</sst>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0000000"/>
    <numFmt numFmtId="166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HP Simplified"/>
      <family val="2"/>
    </font>
    <font>
      <b/>
      <sz val="15"/>
      <color theme="3"/>
      <name val="HP Simplified"/>
      <family val="2"/>
    </font>
    <font>
      <b/>
      <sz val="13"/>
      <color theme="3"/>
      <name val="HP Simplified"/>
      <family val="2"/>
    </font>
    <font>
      <b/>
      <sz val="11"/>
      <color theme="1"/>
      <name val="HP Simplified"/>
      <family val="2"/>
    </font>
    <font>
      <b/>
      <sz val="12"/>
      <color theme="1"/>
      <name val="HP Simplified"/>
      <family val="2"/>
    </font>
    <font>
      <b/>
      <sz val="12"/>
      <color theme="1"/>
      <name val="Calibri"/>
      <family val="2"/>
      <scheme val="minor"/>
    </font>
    <font>
      <sz val="11"/>
      <color theme="1"/>
      <name val="HP Simplified"/>
    </font>
    <font>
      <b/>
      <sz val="11"/>
      <color theme="1"/>
      <name val="HP Simplified"/>
    </font>
    <font>
      <b/>
      <sz val="13"/>
      <color theme="3"/>
      <name val="HP Simplified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  <font>
      <b/>
      <sz val="22"/>
      <color theme="1"/>
      <name val="HP Simplified"/>
      <family val="2"/>
    </font>
    <font>
      <sz val="11"/>
      <color theme="0"/>
      <name val="Calibri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HP Simplified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5BD1FC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24" fillId="20" borderId="28" applyNumberFormat="0" applyAlignment="0" applyProtection="0"/>
    <xf numFmtId="0" fontId="22" fillId="21" borderId="0" applyNumberFormat="0" applyBorder="0" applyAlignment="0" applyProtection="0"/>
  </cellStyleXfs>
  <cellXfs count="207">
    <xf numFmtId="0" fontId="0" fillId="0" borderId="0" xfId="0"/>
    <xf numFmtId="0" fontId="8" fillId="0" borderId="0" xfId="0" applyFont="1"/>
    <xf numFmtId="0" fontId="11" fillId="0" borderId="0" xfId="0" applyFont="1"/>
    <xf numFmtId="0" fontId="2" fillId="4" borderId="0" xfId="5"/>
    <xf numFmtId="0" fontId="12" fillId="0" borderId="0" xfId="0" applyFont="1"/>
    <xf numFmtId="0" fontId="13" fillId="2" borderId="0" xfId="3" applyFont="1"/>
    <xf numFmtId="0" fontId="13" fillId="3" borderId="0" xfId="4" applyFont="1"/>
    <xf numFmtId="0" fontId="13" fillId="4" borderId="0" xfId="5" applyFont="1"/>
    <xf numFmtId="0" fontId="13" fillId="5" borderId="0" xfId="6" applyFont="1"/>
    <xf numFmtId="0" fontId="13" fillId="6" borderId="0" xfId="7" applyFont="1"/>
    <xf numFmtId="0" fontId="13" fillId="7" borderId="0" xfId="8" applyFont="1"/>
    <xf numFmtId="0" fontId="5" fillId="2" borderId="0" xfId="3" applyFont="1" applyAlignment="1">
      <alignment horizontal="center"/>
    </xf>
    <xf numFmtId="0" fontId="2" fillId="2" borderId="0" xfId="3" applyAlignment="1">
      <alignment horizontal="center"/>
    </xf>
    <xf numFmtId="2" fontId="2" fillId="2" borderId="0" xfId="3" applyNumberFormat="1" applyAlignment="1">
      <alignment horizontal="center"/>
    </xf>
    <xf numFmtId="2" fontId="8" fillId="0" borderId="0" xfId="0" applyNumberFormat="1" applyFont="1"/>
    <xf numFmtId="0" fontId="2" fillId="3" borderId="0" xfId="4" applyAlignment="1">
      <alignment horizontal="center"/>
    </xf>
    <xf numFmtId="0" fontId="2" fillId="4" borderId="0" xfId="5" applyAlignment="1">
      <alignment horizontal="center"/>
    </xf>
    <xf numFmtId="0" fontId="2" fillId="5" borderId="0" xfId="6" applyAlignment="1">
      <alignment horizontal="center"/>
    </xf>
    <xf numFmtId="0" fontId="2" fillId="7" borderId="0" xfId="8" applyAlignment="1">
      <alignment horizontal="center"/>
    </xf>
    <xf numFmtId="0" fontId="2" fillId="6" borderId="0" xfId="7" applyAlignment="1">
      <alignment horizontal="center"/>
    </xf>
    <xf numFmtId="2" fontId="8" fillId="0" borderId="0" xfId="0" applyNumberFormat="1" applyFont="1" applyAlignment="1">
      <alignment horizontal="right"/>
    </xf>
    <xf numFmtId="2" fontId="2" fillId="3" borderId="0" xfId="4" applyNumberFormat="1" applyAlignment="1">
      <alignment horizontal="center"/>
    </xf>
    <xf numFmtId="0" fontId="5" fillId="3" borderId="0" xfId="4" applyFont="1" applyAlignment="1">
      <alignment horizontal="center"/>
    </xf>
    <xf numFmtId="0" fontId="5" fillId="4" borderId="0" xfId="5" applyFont="1" applyAlignment="1">
      <alignment horizontal="center"/>
    </xf>
    <xf numFmtId="0" fontId="5" fillId="5" borderId="0" xfId="6" applyFont="1" applyAlignment="1">
      <alignment horizontal="center"/>
    </xf>
    <xf numFmtId="0" fontId="5" fillId="6" borderId="0" xfId="7" applyFont="1" applyAlignment="1">
      <alignment horizontal="center"/>
    </xf>
    <xf numFmtId="0" fontId="5" fillId="7" borderId="0" xfId="8" applyFont="1" applyAlignment="1">
      <alignment horizontal="center"/>
    </xf>
    <xf numFmtId="2" fontId="2" fillId="5" borderId="0" xfId="6" applyNumberFormat="1" applyAlignment="1">
      <alignment horizontal="center"/>
    </xf>
    <xf numFmtId="2" fontId="2" fillId="6" borderId="0" xfId="7" applyNumberFormat="1" applyAlignment="1">
      <alignment horizontal="center"/>
    </xf>
    <xf numFmtId="2" fontId="2" fillId="7" borderId="0" xfId="8" applyNumberFormat="1" applyAlignment="1">
      <alignment horizontal="center"/>
    </xf>
    <xf numFmtId="0" fontId="14" fillId="0" borderId="0" xfId="0" applyFont="1"/>
    <xf numFmtId="0" fontId="15" fillId="0" borderId="0" xfId="0" applyFont="1"/>
    <xf numFmtId="2" fontId="0" fillId="0" borderId="0" xfId="0" applyNumberFormat="1"/>
    <xf numFmtId="0" fontId="18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9" fillId="0" borderId="0" xfId="0" applyFont="1"/>
    <xf numFmtId="4" fontId="0" fillId="0" borderId="0" xfId="0" applyNumberFormat="1"/>
    <xf numFmtId="0" fontId="0" fillId="8" borderId="9" xfId="0" applyFill="1" applyBorder="1"/>
    <xf numFmtId="0" fontId="0" fillId="9" borderId="9" xfId="0" applyFill="1" applyBorder="1"/>
    <xf numFmtId="0" fontId="5" fillId="2" borderId="0" xfId="3" applyFont="1" applyBorder="1" applyAlignment="1">
      <alignment horizontal="center"/>
    </xf>
    <xf numFmtId="0" fontId="5" fillId="2" borderId="11" xfId="3" applyFont="1" applyBorder="1" applyAlignment="1">
      <alignment horizontal="center"/>
    </xf>
    <xf numFmtId="0" fontId="5" fillId="4" borderId="10" xfId="5" applyFont="1" applyBorder="1" applyAlignment="1">
      <alignment horizontal="center"/>
    </xf>
    <xf numFmtId="0" fontId="5" fillId="5" borderId="10" xfId="6" applyFont="1" applyBorder="1" applyAlignment="1">
      <alignment horizontal="center"/>
    </xf>
    <xf numFmtId="0" fontId="5" fillId="7" borderId="10" xfId="8" applyFont="1" applyBorder="1" applyAlignment="1">
      <alignment horizontal="center"/>
    </xf>
    <xf numFmtId="0" fontId="2" fillId="7" borderId="10" xfId="8" applyBorder="1" applyAlignment="1">
      <alignment horizontal="center"/>
    </xf>
    <xf numFmtId="0" fontId="5" fillId="3" borderId="0" xfId="4" applyFont="1" applyBorder="1" applyAlignment="1">
      <alignment horizontal="center"/>
    </xf>
    <xf numFmtId="0" fontId="5" fillId="4" borderId="0" xfId="5" applyFont="1" applyBorder="1" applyAlignment="1">
      <alignment horizontal="center"/>
    </xf>
    <xf numFmtId="2" fontId="2" fillId="4" borderId="0" xfId="5" applyNumberFormat="1" applyBorder="1" applyAlignment="1">
      <alignment horizontal="center"/>
    </xf>
    <xf numFmtId="0" fontId="2" fillId="5" borderId="0" xfId="6" applyBorder="1" applyAlignment="1">
      <alignment horizontal="center"/>
    </xf>
    <xf numFmtId="0" fontId="5" fillId="5" borderId="0" xfId="6" applyFont="1" applyBorder="1" applyAlignment="1">
      <alignment horizontal="center"/>
    </xf>
    <xf numFmtId="2" fontId="2" fillId="5" borderId="0" xfId="6" applyNumberFormat="1" applyBorder="1" applyAlignment="1">
      <alignment horizontal="center"/>
    </xf>
    <xf numFmtId="0" fontId="2" fillId="6" borderId="0" xfId="7" applyBorder="1" applyAlignment="1">
      <alignment horizontal="center"/>
    </xf>
    <xf numFmtId="0" fontId="5" fillId="6" borderId="0" xfId="7" applyFont="1" applyBorder="1" applyAlignment="1">
      <alignment horizontal="center"/>
    </xf>
    <xf numFmtId="2" fontId="2" fillId="6" borderId="0" xfId="7" applyNumberFormat="1" applyBorder="1" applyAlignment="1">
      <alignment horizontal="center"/>
    </xf>
    <xf numFmtId="0" fontId="2" fillId="7" borderId="0" xfId="8" applyBorder="1" applyAlignment="1">
      <alignment horizontal="center"/>
    </xf>
    <xf numFmtId="2" fontId="2" fillId="7" borderId="0" xfId="8" applyNumberFormat="1" applyBorder="1" applyAlignment="1">
      <alignment horizontal="center"/>
    </xf>
    <xf numFmtId="0" fontId="2" fillId="2" borderId="0" xfId="3" applyBorder="1" applyAlignment="1">
      <alignment horizontal="center"/>
    </xf>
    <xf numFmtId="2" fontId="2" fillId="2" borderId="0" xfId="3" applyNumberFormat="1" applyBorder="1" applyAlignment="1">
      <alignment horizontal="center"/>
    </xf>
    <xf numFmtId="0" fontId="2" fillId="3" borderId="0" xfId="4" applyBorder="1" applyAlignment="1">
      <alignment horizontal="center"/>
    </xf>
    <xf numFmtId="2" fontId="2" fillId="3" borderId="0" xfId="4" applyNumberFormat="1" applyBorder="1" applyAlignment="1">
      <alignment horizontal="center"/>
    </xf>
    <xf numFmtId="0" fontId="5" fillId="6" borderId="10" xfId="7" applyFont="1" applyBorder="1" applyAlignment="1">
      <alignment horizontal="center"/>
    </xf>
    <xf numFmtId="0" fontId="0" fillId="9" borderId="12" xfId="0" applyFill="1" applyBorder="1"/>
    <xf numFmtId="0" fontId="0" fillId="8" borderId="14" xfId="0" applyFill="1" applyBorder="1"/>
    <xf numFmtId="0" fontId="0" fillId="10" borderId="9" xfId="0" applyFill="1" applyBorder="1"/>
    <xf numFmtId="0" fontId="5" fillId="0" borderId="0" xfId="0" applyFont="1" applyAlignment="1">
      <alignment horizontal="center" vertical="center"/>
    </xf>
    <xf numFmtId="0" fontId="0" fillId="9" borderId="9" xfId="0" quotePrefix="1" applyFill="1" applyBorder="1" applyAlignment="1">
      <alignment wrapText="1"/>
    </xf>
    <xf numFmtId="4" fontId="0" fillId="9" borderId="9" xfId="0" applyNumberFormat="1" applyFill="1" applyBorder="1"/>
    <xf numFmtId="0" fontId="17" fillId="0" borderId="10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0" fillId="0" borderId="10" xfId="0" applyBorder="1"/>
    <xf numFmtId="0" fontId="2" fillId="12" borderId="0" xfId="10" applyFont="1"/>
    <xf numFmtId="2" fontId="2" fillId="12" borderId="0" xfId="10" applyNumberFormat="1" applyFont="1" applyAlignment="1">
      <alignment horizontal="right"/>
    </xf>
    <xf numFmtId="0" fontId="0" fillId="0" borderId="10" xfId="0" applyBorder="1" applyAlignment="1">
      <alignment horizontal="right"/>
    </xf>
    <xf numFmtId="0" fontId="22" fillId="11" borderId="0" xfId="9" applyFont="1"/>
    <xf numFmtId="0" fontId="0" fillId="8" borderId="15" xfId="0" applyFill="1" applyBorder="1"/>
    <xf numFmtId="0" fontId="0" fillId="13" borderId="9" xfId="0" applyFill="1" applyBorder="1"/>
    <xf numFmtId="165" fontId="0" fillId="13" borderId="9" xfId="0" applyNumberFormat="1" applyFill="1" applyBorder="1"/>
    <xf numFmtId="0" fontId="0" fillId="10" borderId="15" xfId="0" applyFill="1" applyBorder="1"/>
    <xf numFmtId="166" fontId="0" fillId="9" borderId="9" xfId="0" quotePrefix="1" applyNumberFormat="1" applyFill="1" applyBorder="1" applyAlignment="1">
      <alignment wrapText="1"/>
    </xf>
    <xf numFmtId="166" fontId="0" fillId="9" borderId="9" xfId="0" applyNumberFormat="1" applyFill="1" applyBorder="1" applyAlignment="1">
      <alignment wrapText="1"/>
    </xf>
    <xf numFmtId="166" fontId="0" fillId="9" borderId="14" xfId="0" applyNumberFormat="1" applyFill="1" applyBorder="1"/>
    <xf numFmtId="166" fontId="0" fillId="9" borderId="18" xfId="0" applyNumberFormat="1" applyFill="1" applyBorder="1"/>
    <xf numFmtId="166" fontId="0" fillId="9" borderId="16" xfId="0" applyNumberFormat="1" applyFill="1" applyBorder="1"/>
    <xf numFmtId="2" fontId="8" fillId="0" borderId="0" xfId="0" applyNumberFormat="1" applyFont="1" applyAlignment="1">
      <alignment horizontal="left"/>
    </xf>
    <xf numFmtId="0" fontId="0" fillId="14" borderId="14" xfId="0" applyFill="1" applyBorder="1"/>
    <xf numFmtId="0" fontId="0" fillId="9" borderId="15" xfId="0" applyFill="1" applyBorder="1"/>
    <xf numFmtId="0" fontId="0" fillId="14" borderId="17" xfId="0" applyFill="1" applyBorder="1"/>
    <xf numFmtId="0" fontId="5" fillId="0" borderId="11" xfId="0" applyFont="1" applyBorder="1" applyAlignment="1">
      <alignment horizontal="center" vertical="center"/>
    </xf>
    <xf numFmtId="0" fontId="0" fillId="8" borderId="13" xfId="0" applyFill="1" applyBorder="1"/>
    <xf numFmtId="0" fontId="0" fillId="15" borderId="9" xfId="0" applyFill="1" applyBorder="1"/>
    <xf numFmtId="0" fontId="5" fillId="0" borderId="9" xfId="0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0" fillId="16" borderId="15" xfId="0" applyFill="1" applyBorder="1"/>
    <xf numFmtId="0" fontId="0" fillId="16" borderId="16" xfId="0" applyFill="1" applyBorder="1"/>
    <xf numFmtId="0" fontId="0" fillId="16" borderId="14" xfId="0" applyFill="1" applyBorder="1"/>
    <xf numFmtId="0" fontId="0" fillId="0" borderId="0" xfId="0" applyAlignment="1">
      <alignment horizontal="left"/>
    </xf>
    <xf numFmtId="0" fontId="0" fillId="16" borderId="9" xfId="0" applyFill="1" applyBorder="1"/>
    <xf numFmtId="0" fontId="0" fillId="17" borderId="15" xfId="0" applyFill="1" applyBorder="1"/>
    <xf numFmtId="0" fontId="0" fillId="9" borderId="17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9" borderId="17" xfId="0" applyFill="1" applyBorder="1"/>
    <xf numFmtId="0" fontId="0" fillId="19" borderId="18" xfId="0" applyFill="1" applyBorder="1"/>
    <xf numFmtId="0" fontId="0" fillId="18" borderId="9" xfId="0" applyFill="1" applyBorder="1"/>
    <xf numFmtId="166" fontId="0" fillId="0" borderId="0" xfId="0" applyNumberFormat="1"/>
    <xf numFmtId="0" fontId="24" fillId="20" borderId="28" xfId="11"/>
    <xf numFmtId="0" fontId="22" fillId="21" borderId="0" xfId="12"/>
    <xf numFmtId="0" fontId="22" fillId="21" borderId="28" xfId="12" applyBorder="1"/>
    <xf numFmtId="0" fontId="25" fillId="21" borderId="0" xfId="12" applyFont="1"/>
    <xf numFmtId="0" fontId="26" fillId="0" borderId="0" xfId="0" applyFont="1"/>
    <xf numFmtId="0" fontId="5" fillId="0" borderId="0" xfId="0" applyFont="1"/>
    <xf numFmtId="0" fontId="0" fillId="0" borderId="0" xfId="0"/>
    <xf numFmtId="2" fontId="5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5" fillId="0" borderId="9" xfId="0" applyFont="1" applyBorder="1"/>
    <xf numFmtId="0" fontId="0" fillId="0" borderId="9" xfId="0" applyBorder="1" applyAlignment="1">
      <alignment horizontal="right"/>
    </xf>
    <xf numFmtId="0" fontId="0" fillId="0" borderId="9" xfId="0" applyBorder="1" applyAlignment="1"/>
    <xf numFmtId="0" fontId="0" fillId="0" borderId="9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0" xfId="0" applyAlignment="1"/>
    <xf numFmtId="0" fontId="2" fillId="3" borderId="10" xfId="4" applyBorder="1" applyAlignment="1">
      <alignment horizontal="center"/>
    </xf>
    <xf numFmtId="0" fontId="2" fillId="2" borderId="10" xfId="3" applyBorder="1" applyAlignment="1">
      <alignment horizontal="center"/>
    </xf>
    <xf numFmtId="0" fontId="5" fillId="2" borderId="10" xfId="3" applyFont="1" applyBorder="1" applyAlignment="1">
      <alignment horizontal="center"/>
    </xf>
    <xf numFmtId="0" fontId="5" fillId="0" borderId="0" xfId="0" applyFont="1" applyAlignment="1"/>
    <xf numFmtId="0" fontId="5" fillId="3" borderId="10" xfId="4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Alignment="1"/>
    <xf numFmtId="0" fontId="5" fillId="2" borderId="10" xfId="3" applyFont="1" applyBorder="1" applyAlignment="1">
      <alignment horizontal="center"/>
    </xf>
    <xf numFmtId="0" fontId="2" fillId="2" borderId="10" xfId="3" applyBorder="1" applyAlignment="1">
      <alignment horizontal="center"/>
    </xf>
    <xf numFmtId="0" fontId="5" fillId="3" borderId="10" xfId="4" applyFont="1" applyBorder="1" applyAlignment="1">
      <alignment horizontal="center"/>
    </xf>
    <xf numFmtId="0" fontId="2" fillId="3" borderId="10" xfId="4" applyBorder="1" applyAlignment="1">
      <alignment horizontal="center"/>
    </xf>
    <xf numFmtId="0" fontId="2" fillId="3" borderId="29" xfId="4" applyBorder="1" applyAlignment="1">
      <alignment horizontal="center"/>
    </xf>
    <xf numFmtId="0" fontId="2" fillId="3" borderId="30" xfId="4" applyBorder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2" applyBorder="1" applyAlignment="1">
      <alignment horizontal="center"/>
    </xf>
    <xf numFmtId="0" fontId="4" fillId="0" borderId="2" xfId="2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1" applyFont="1" applyAlignment="1">
      <alignment horizontal="center"/>
    </xf>
    <xf numFmtId="0" fontId="10" fillId="0" borderId="2" xfId="2" applyFont="1" applyAlignment="1">
      <alignment horizontal="center"/>
    </xf>
    <xf numFmtId="0" fontId="2" fillId="12" borderId="0" xfId="10" applyFont="1" applyAlignment="1">
      <alignment horizontal="right"/>
    </xf>
    <xf numFmtId="0" fontId="5" fillId="12" borderId="0" xfId="10" applyFont="1" applyAlignment="1">
      <alignment horizontal="center"/>
    </xf>
    <xf numFmtId="0" fontId="2" fillId="2" borderId="10" xfId="3" applyBorder="1" applyAlignment="1">
      <alignment horizontal="right"/>
    </xf>
    <xf numFmtId="0" fontId="2" fillId="2" borderId="10" xfId="3" applyBorder="1" applyAlignment="1">
      <alignment horizontal="left"/>
    </xf>
    <xf numFmtId="0" fontId="8" fillId="0" borderId="31" xfId="0" applyFont="1" applyBorder="1" applyAlignment="1">
      <alignment horizontal="center"/>
    </xf>
    <xf numFmtId="0" fontId="24" fillId="20" borderId="28" xfId="1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wrapText="1"/>
    </xf>
    <xf numFmtId="164" fontId="2" fillId="4" borderId="0" xfId="5" applyNumberFormat="1" applyAlignment="1">
      <alignment horizontal="center" wrapText="1"/>
    </xf>
    <xf numFmtId="0" fontId="23" fillId="0" borderId="0" xfId="0" applyFont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166" fontId="0" fillId="9" borderId="17" xfId="0" applyNumberFormat="1" applyFill="1" applyBorder="1" applyAlignment="1">
      <alignment horizontal="center"/>
    </xf>
    <xf numFmtId="166" fontId="0" fillId="9" borderId="25" xfId="0" applyNumberForma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166" fontId="0" fillId="9" borderId="0" xfId="0" applyNumberFormat="1" applyFill="1" applyBorder="1" applyAlignment="1">
      <alignment horizontal="center"/>
    </xf>
    <xf numFmtId="166" fontId="0" fillId="9" borderId="21" xfId="0" applyNumberFormat="1" applyFill="1" applyBorder="1" applyAlignment="1">
      <alignment horizontal="center"/>
    </xf>
    <xf numFmtId="166" fontId="0" fillId="9" borderId="26" xfId="0" applyNumberFormat="1" applyFill="1" applyBorder="1" applyAlignment="1">
      <alignment horizontal="center"/>
    </xf>
    <xf numFmtId="166" fontId="0" fillId="9" borderId="9" xfId="0" quotePrefix="1" applyNumberFormat="1" applyFill="1" applyBorder="1" applyAlignment="1">
      <alignment horizontal="center" wrapText="1"/>
    </xf>
    <xf numFmtId="166" fontId="0" fillId="10" borderId="15" xfId="0" applyNumberFormat="1" applyFill="1" applyBorder="1" applyAlignment="1">
      <alignment horizontal="center"/>
    </xf>
    <xf numFmtId="166" fontId="0" fillId="10" borderId="14" xfId="0" applyNumberFormat="1" applyFill="1" applyBorder="1" applyAlignment="1">
      <alignment horizontal="center"/>
    </xf>
    <xf numFmtId="166" fontId="0" fillId="10" borderId="16" xfId="0" applyNumberFormat="1" applyFill="1" applyBorder="1" applyAlignment="1">
      <alignment horizontal="center"/>
    </xf>
    <xf numFmtId="166" fontId="0" fillId="9" borderId="18" xfId="0" applyNumberFormat="1" applyFill="1" applyBorder="1" applyAlignment="1">
      <alignment horizontal="center"/>
    </xf>
    <xf numFmtId="166" fontId="0" fillId="9" borderId="20" xfId="0" applyNumberFormat="1" applyFill="1" applyBorder="1" applyAlignment="1">
      <alignment horizontal="center"/>
    </xf>
    <xf numFmtId="166" fontId="0" fillId="9" borderId="2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66" fontId="0" fillId="9" borderId="15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166" fontId="0" fillId="10" borderId="22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3">
    <cellStyle name="20% - Cor1" xfId="3" builtinId="30"/>
    <cellStyle name="20% - Cor2" xfId="4" builtinId="34"/>
    <cellStyle name="20% - Cor3" xfId="5" builtinId="38"/>
    <cellStyle name="20% - Cor4" xfId="6" builtinId="42"/>
    <cellStyle name="20% - Cor5" xfId="7" builtinId="46"/>
    <cellStyle name="20% - Cor6" xfId="8" builtinId="50"/>
    <cellStyle name="40% - Cor4" xfId="10" builtinId="43"/>
    <cellStyle name="Cabeçalho 1" xfId="1" builtinId="16"/>
    <cellStyle name="Cabeçalho 2" xfId="2" builtinId="17"/>
    <cellStyle name="Cálculo" xfId="11" builtinId="22"/>
    <cellStyle name="Cor1" xfId="9" builtinId="29"/>
    <cellStyle name="Cor3" xfId="12" builtinId="37"/>
    <cellStyle name="Normal" xfId="0" builtinId="0"/>
  </cellStyles>
  <dxfs count="0"/>
  <tableStyles count="0" defaultTableStyle="TableStyleMedium2" defaultPivotStyle="PivotStyleLight16"/>
  <colors>
    <mruColors>
      <color rgb="FF5BD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262073</xdr:colOff>
      <xdr:row>0</xdr:row>
      <xdr:rowOff>0</xdr:rowOff>
    </xdr:from>
    <xdr:to>
      <xdr:col>13</xdr:col>
      <xdr:colOff>437877</xdr:colOff>
      <xdr:row>27</xdr:row>
      <xdr:rowOff>131880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C909CD8-02AE-444C-B06F-B1E4F4680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873" y="0"/>
          <a:ext cx="6271804" cy="5128423"/>
        </a:xfrm>
        <a:prstGeom prst="rect">
          <a:avLst/>
        </a:prstGeom>
      </xdr:spPr>
    </xdr:pic>
    <xdr:clientData/>
  </xdr:twoCellAnchor>
  <xdr:twoCellAnchor editAs="oneCell">
    <xdr:from>
      <xdr:col>1</xdr:col>
      <xdr:colOff>286870</xdr:colOff>
      <xdr:row>29</xdr:row>
      <xdr:rowOff>1</xdr:rowOff>
    </xdr:from>
    <xdr:to>
      <xdr:col>14</xdr:col>
      <xdr:colOff>583292</xdr:colOff>
      <xdr:row>53</xdr:row>
      <xdr:rowOff>143503</xdr:rowOff>
    </xdr:to>
    <xdr:pic>
      <xdr:nvPicPr>
        <xdr:cNvPr id="8" name="Imagem 4">
          <a:extLst>
            <a:ext uri="{FF2B5EF4-FFF2-40B4-BE49-F238E27FC236}">
              <a16:creationId xmlns:a16="http://schemas.microsoft.com/office/drawing/2014/main" id="{3819D986-328F-457C-BD17-F970222A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470" y="5199530"/>
          <a:ext cx="8221222" cy="4496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302350</xdr:colOff>
      <xdr:row>5</xdr:row>
      <xdr:rowOff>125730</xdr:rowOff>
    </xdr:from>
    <xdr:to>
      <xdr:col>17</xdr:col>
      <xdr:colOff>3781</xdr:colOff>
      <xdr:row>28</xdr:row>
      <xdr:rowOff>19692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04853B-14E8-4418-9DF2-AFCBD91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293" y="1127216"/>
          <a:ext cx="5953641" cy="4385136"/>
        </a:xfrm>
        <a:prstGeom prst="rect">
          <a:avLst/>
        </a:prstGeom>
      </xdr:spPr>
    </xdr:pic>
    <xdr:clientData/>
  </xdr:twoCellAnchor>
  <xdr:twoCellAnchor editAs="oneCell">
    <xdr:from>
      <xdr:col>7</xdr:col>
      <xdr:colOff>281940</xdr:colOff>
      <xdr:row>30</xdr:row>
      <xdr:rowOff>45720</xdr:rowOff>
    </xdr:from>
    <xdr:to>
      <xdr:col>17</xdr:col>
      <xdr:colOff>15763</xdr:colOff>
      <xdr:row>51</xdr:row>
      <xdr:rowOff>130987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7D1A0B7-5375-4BDB-BD6F-DBA18C90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3440" y="5669280"/>
          <a:ext cx="6035563" cy="417992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36</xdr:col>
      <xdr:colOff>555716</xdr:colOff>
      <xdr:row>23</xdr:row>
      <xdr:rowOff>170905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5AFC4B4-C4F9-46BC-87C0-424B50F1F6F8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9343" y="1121229"/>
          <a:ext cx="6640286" cy="3516085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97971</xdr:colOff>
      <xdr:row>32</xdr:row>
      <xdr:rowOff>10886</xdr:rowOff>
    </xdr:from>
    <xdr:to>
      <xdr:col>35</xdr:col>
      <xdr:colOff>19231</xdr:colOff>
      <xdr:row>45</xdr:row>
      <xdr:rowOff>54338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3612C3B-555F-48DF-9D9A-3FAD04689664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7314" y="5758543"/>
          <a:ext cx="5396230" cy="2597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318654</xdr:colOff>
      <xdr:row>92</xdr:row>
      <xdr:rowOff>138547</xdr:rowOff>
    </xdr:from>
    <xdr:to>
      <xdr:col>24</xdr:col>
      <xdr:colOff>517399</xdr:colOff>
      <xdr:row>126</xdr:row>
      <xdr:rowOff>54212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0615F8E-D1B9-4B2C-8BA3-9B90FB60B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7745" y="18080183"/>
          <a:ext cx="7216765" cy="6043184"/>
        </a:xfrm>
        <a:prstGeom prst="rect">
          <a:avLst/>
        </a:prstGeom>
      </xdr:spPr>
    </xdr:pic>
    <xdr:clientData/>
  </xdr:twoCellAnchor>
  <xdr:twoCellAnchor editAs="oneCell">
    <xdr:from>
      <xdr:col>1</xdr:col>
      <xdr:colOff>25309</xdr:colOff>
      <xdr:row>90</xdr:row>
      <xdr:rowOff>53019</xdr:rowOff>
    </xdr:from>
    <xdr:to>
      <xdr:col>11</xdr:col>
      <xdr:colOff>552765</xdr:colOff>
      <xdr:row>126</xdr:row>
      <xdr:rowOff>133772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F777038-D531-4BBA-B357-E52DB13F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09" y="17620583"/>
          <a:ext cx="7353937" cy="6569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3</xdr:row>
      <xdr:rowOff>0</xdr:rowOff>
    </xdr:from>
    <xdr:to>
      <xdr:col>17</xdr:col>
      <xdr:colOff>272984</xdr:colOff>
      <xdr:row>19</xdr:row>
      <xdr:rowOff>45987</xdr:rowOff>
    </xdr:to>
    <xdr:pic>
      <xdr:nvPicPr>
        <xdr:cNvPr id="4" name="Imagem 1">
          <a:extLst>
            <a:ext uri="{FF2B5EF4-FFF2-40B4-BE49-F238E27FC236}">
              <a16:creationId xmlns:a16="http://schemas.microsoft.com/office/drawing/2014/main" id="{70F6987F-DB0C-44A5-B6DA-F910A8B0F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542925"/>
          <a:ext cx="6569009" cy="3046362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23</xdr:row>
      <xdr:rowOff>9525</xdr:rowOff>
    </xdr:from>
    <xdr:to>
      <xdr:col>16</xdr:col>
      <xdr:colOff>583481</xdr:colOff>
      <xdr:row>38</xdr:row>
      <xdr:rowOff>122178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id="{2BC2F915-58EA-43D4-9A68-2DC78027F1AC}"/>
            </a:ext>
            <a:ext uri="{147F2762-F138-4A5C-976F-8EAC2B608ADB}">
              <a16:predDERef xmlns:a16="http://schemas.microsoft.com/office/drawing/2014/main" pred="{70F6987F-DB0C-44A5-B6DA-F910A8B0F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4267200"/>
          <a:ext cx="6355631" cy="29415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3</xdr:row>
      <xdr:rowOff>114300</xdr:rowOff>
    </xdr:from>
    <xdr:to>
      <xdr:col>10</xdr:col>
      <xdr:colOff>391058</xdr:colOff>
      <xdr:row>18</xdr:row>
      <xdr:rowOff>72622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C209A-DFE2-485D-BB7A-BB20267F0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657225"/>
          <a:ext cx="6153683" cy="267294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21</xdr:row>
      <xdr:rowOff>0</xdr:rowOff>
    </xdr:from>
    <xdr:to>
      <xdr:col>10</xdr:col>
      <xdr:colOff>419629</xdr:colOff>
      <xdr:row>35</xdr:row>
      <xdr:rowOff>120245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75A7AB-0501-47A1-ABDB-9FBDBB15BA90}"/>
            </a:ext>
            <a:ext uri="{147F2762-F138-4A5C-976F-8EAC2B608ADB}">
              <a16:predDERef xmlns:a16="http://schemas.microsoft.com/office/drawing/2014/main" pred="{E5FC209A-DFE2-485D-BB7A-BB20267F0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3800475"/>
          <a:ext cx="6106054" cy="2663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221672</xdr:colOff>
      <xdr:row>5</xdr:row>
      <xdr:rowOff>25265</xdr:rowOff>
    </xdr:from>
    <xdr:to>
      <xdr:col>17</xdr:col>
      <xdr:colOff>239061</xdr:colOff>
      <xdr:row>19</xdr:row>
      <xdr:rowOff>24029</xdr:rowOff>
    </xdr:to>
    <xdr:pic>
      <xdr:nvPicPr>
        <xdr:cNvPr id="12" name="Imagem 1">
          <a:extLst>
            <a:ext uri="{FF2B5EF4-FFF2-40B4-BE49-F238E27FC236}">
              <a16:creationId xmlns:a16="http://schemas.microsoft.com/office/drawing/2014/main" id="{3E1A1BB5-6F34-419E-BB09-ED661818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8848" y="921736"/>
          <a:ext cx="6113389" cy="2694339"/>
        </a:xfrm>
        <a:prstGeom prst="rect">
          <a:avLst/>
        </a:prstGeom>
      </xdr:spPr>
    </xdr:pic>
    <xdr:clientData/>
  </xdr:twoCellAnchor>
  <xdr:twoCellAnchor editAs="oneCell">
    <xdr:from>
      <xdr:col>7</xdr:col>
      <xdr:colOff>253457</xdr:colOff>
      <xdr:row>19</xdr:row>
      <xdr:rowOff>154030</xdr:rowOff>
    </xdr:from>
    <xdr:to>
      <xdr:col>17</xdr:col>
      <xdr:colOff>261320</xdr:colOff>
      <xdr:row>33</xdr:row>
      <xdr:rowOff>85971</xdr:rowOff>
    </xdr:to>
    <xdr:pic>
      <xdr:nvPicPr>
        <xdr:cNvPr id="13" name="Imagem 2">
          <a:extLst>
            <a:ext uri="{FF2B5EF4-FFF2-40B4-BE49-F238E27FC236}">
              <a16:creationId xmlns:a16="http://schemas.microsoft.com/office/drawing/2014/main" id="{4BC5C5CC-41AB-431F-B86E-7470EEC42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0633" y="3596477"/>
          <a:ext cx="6103863" cy="26084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9</xdr:row>
      <xdr:rowOff>38100</xdr:rowOff>
    </xdr:from>
    <xdr:to>
      <xdr:col>29</xdr:col>
      <xdr:colOff>209550</xdr:colOff>
      <xdr:row>33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6F5953-FEBB-44D1-BA5A-DB19C7503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1666875"/>
          <a:ext cx="10058400" cy="450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41</xdr:row>
      <xdr:rowOff>38100</xdr:rowOff>
    </xdr:from>
    <xdr:to>
      <xdr:col>29</xdr:col>
      <xdr:colOff>95250</xdr:colOff>
      <xdr:row>64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F85040-9A28-41CB-B49C-048A626703E2}"/>
            </a:ext>
            <a:ext uri="{147F2762-F138-4A5C-976F-8EAC2B608ADB}">
              <a16:predDERef xmlns:a16="http://schemas.microsoft.com/office/drawing/2014/main" pred="{846F5953-FEBB-44D1-BA5A-DB19C7503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0" y="7458075"/>
          <a:ext cx="10058400" cy="427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81F2-9F84-4A3E-AED1-BA5E3075239C}">
  <dimension ref="Q35:V48"/>
  <sheetViews>
    <sheetView topLeftCell="A25" zoomScale="70" zoomScaleNormal="70" workbookViewId="0">
      <selection activeCell="R45" sqref="R45"/>
    </sheetView>
  </sheetViews>
  <sheetFormatPr defaultRowHeight="14.45"/>
  <cols>
    <col min="18" max="18" width="10.42578125" bestFit="1" customWidth="1"/>
  </cols>
  <sheetData>
    <row r="35" spans="17:22">
      <c r="Q35" s="117"/>
      <c r="R35" s="117"/>
      <c r="S35" s="117"/>
      <c r="T35" s="117">
        <v>1.8</v>
      </c>
      <c r="U35" s="117">
        <v>20</v>
      </c>
      <c r="V35" s="117"/>
    </row>
    <row r="36" spans="17:22">
      <c r="Q36" s="117"/>
      <c r="R36" s="117"/>
      <c r="S36" s="117"/>
      <c r="T36" s="117" t="s">
        <v>0</v>
      </c>
      <c r="U36" s="117" t="s">
        <v>1</v>
      </c>
      <c r="V36" s="117"/>
    </row>
    <row r="39" spans="17:22">
      <c r="Q39" s="117"/>
      <c r="R39" s="117"/>
      <c r="S39" s="117"/>
      <c r="T39" s="117" t="s">
        <v>0</v>
      </c>
      <c r="U39" s="117" t="s">
        <v>1</v>
      </c>
      <c r="V39" s="117" t="s">
        <v>2</v>
      </c>
    </row>
    <row r="40" spans="17:22">
      <c r="Q40" s="117"/>
      <c r="R40" s="117"/>
      <c r="S40" s="117" t="s">
        <v>3</v>
      </c>
      <c r="T40" s="117">
        <f>2.86+5.64+0.41</f>
        <v>8.91</v>
      </c>
      <c r="U40" s="32">
        <f>(T40*$U$35)/$T$35</f>
        <v>98.999999999999986</v>
      </c>
      <c r="V40" s="32">
        <f>U40*2</f>
        <v>197.99999999999997</v>
      </c>
    </row>
    <row r="41" spans="17:22">
      <c r="Q41" s="117"/>
      <c r="R41" s="117" t="s">
        <v>4</v>
      </c>
      <c r="S41" s="117">
        <v>2</v>
      </c>
      <c r="T41" s="117">
        <f>0.47+3.29+0.47</f>
        <v>4.2299999999999995</v>
      </c>
      <c r="U41" s="32">
        <f>(T41*$U$35)/$T$35</f>
        <v>46.999999999999993</v>
      </c>
      <c r="V41" s="32">
        <f>U41*2</f>
        <v>93.999999999999986</v>
      </c>
    </row>
    <row r="42" spans="17:22">
      <c r="Q42" s="117"/>
      <c r="R42" s="117"/>
      <c r="S42" s="117">
        <v>3</v>
      </c>
      <c r="T42" s="117">
        <f>0.47+0.47+4.07+13.21</f>
        <v>18.22</v>
      </c>
      <c r="U42" s="32">
        <f>(T42*$U$35)/$T$35</f>
        <v>202.44444444444443</v>
      </c>
      <c r="V42" s="32">
        <f>U42*2</f>
        <v>404.88888888888886</v>
      </c>
    </row>
    <row r="43" spans="17:22">
      <c r="Q43" s="117"/>
      <c r="R43" s="117"/>
      <c r="S43" s="117">
        <v>4</v>
      </c>
      <c r="T43" s="117">
        <f>0.47+0.47+4.07+20.52+6.36</f>
        <v>31.89</v>
      </c>
      <c r="U43" s="32">
        <f>(T43*$U$35)/$T$35</f>
        <v>354.33333333333331</v>
      </c>
      <c r="V43" s="32">
        <f>U43*2</f>
        <v>708.66666666666663</v>
      </c>
    </row>
    <row r="44" spans="17:22">
      <c r="Q44" s="117"/>
      <c r="R44" s="117"/>
      <c r="S44" s="117">
        <v>5</v>
      </c>
      <c r="T44" s="117">
        <f>0.47+0.47+3.29+6.9+13.47</f>
        <v>24.6</v>
      </c>
      <c r="U44" s="32">
        <f>(T44*$U$35)/$T$35</f>
        <v>273.33333333333331</v>
      </c>
      <c r="V44" s="32">
        <f>U44*2</f>
        <v>546.66666666666663</v>
      </c>
    </row>
    <row r="48" spans="17:22" ht="15">
      <c r="Q48" s="116"/>
      <c r="R48" s="116" t="s">
        <v>5</v>
      </c>
      <c r="S48" s="118">
        <f>SUM(V40:V44)</f>
        <v>1952.2222222222222</v>
      </c>
      <c r="T48" s="116" t="s">
        <v>6</v>
      </c>
      <c r="U48" s="116"/>
      <c r="V48" s="1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59E7-AE68-4D3D-AD0D-3C74AA699D87}">
  <dimension ref="A1:BI185"/>
  <sheetViews>
    <sheetView topLeftCell="A25" zoomScale="70" zoomScaleNormal="70" workbookViewId="0">
      <selection activeCell="I162" sqref="I154:J162"/>
    </sheetView>
  </sheetViews>
  <sheetFormatPr defaultColWidth="8.85546875" defaultRowHeight="13.9"/>
  <cols>
    <col min="1" max="2" width="8.85546875" style="1"/>
    <col min="3" max="3" width="14.42578125" style="1" customWidth="1"/>
    <col min="4" max="4" width="13.85546875" style="1" customWidth="1"/>
    <col min="5" max="15" width="8.85546875" style="1"/>
    <col min="16" max="16" width="11.5703125" style="1" customWidth="1"/>
    <col min="17" max="19" width="8.85546875" style="1"/>
    <col min="20" max="20" width="8.85546875" style="2"/>
    <col min="21" max="21" width="10.7109375" style="1" bestFit="1" customWidth="1"/>
    <col min="22" max="16384" width="8.85546875" style="1"/>
  </cols>
  <sheetData>
    <row r="1" spans="1:32">
      <c r="A1" s="150" t="s">
        <v>7</v>
      </c>
      <c r="B1" s="151"/>
      <c r="C1" s="151"/>
      <c r="D1" s="151"/>
      <c r="E1" s="151"/>
      <c r="F1" s="151"/>
    </row>
    <row r="2" spans="1:32">
      <c r="A2" s="151"/>
      <c r="B2" s="151"/>
      <c r="C2" s="151"/>
      <c r="D2" s="151"/>
      <c r="E2" s="151"/>
      <c r="F2" s="151"/>
      <c r="AC2" s="2"/>
    </row>
    <row r="3" spans="1:32">
      <c r="AA3" s="147" t="s">
        <v>8</v>
      </c>
      <c r="AB3" s="147"/>
      <c r="AC3" s="147"/>
      <c r="AE3" s="2" t="s">
        <v>9</v>
      </c>
      <c r="AF3" s="1">
        <f>10/3.7</f>
        <v>2.7027027027027026</v>
      </c>
    </row>
    <row r="4" spans="1:32">
      <c r="U4" s="2" t="s">
        <v>9</v>
      </c>
      <c r="W4" s="1" t="s">
        <v>10</v>
      </c>
      <c r="AA4" s="146"/>
      <c r="AB4" s="146"/>
      <c r="AC4" s="2"/>
    </row>
    <row r="5" spans="1:32" ht="19.899999999999999" thickBot="1">
      <c r="L5" s="152" t="s">
        <v>11</v>
      </c>
      <c r="M5" s="152"/>
      <c r="N5" s="152"/>
      <c r="O5" s="152"/>
      <c r="P5" s="152"/>
      <c r="Q5" s="152"/>
      <c r="W5" s="1" t="s">
        <v>12</v>
      </c>
    </row>
    <row r="6" spans="1:32" ht="14.45" thickTop="1"/>
    <row r="7" spans="1:32" ht="15.6">
      <c r="S7" s="4"/>
      <c r="T7" s="2" t="s">
        <v>13</v>
      </c>
      <c r="U7" s="2" t="s">
        <v>6</v>
      </c>
    </row>
    <row r="8" spans="1:32" ht="17.45" thickBot="1">
      <c r="B8" s="153" t="s">
        <v>14</v>
      </c>
      <c r="C8" s="153"/>
      <c r="D8" s="153"/>
      <c r="S8" s="5" t="s">
        <v>15</v>
      </c>
      <c r="T8" s="11"/>
      <c r="U8" s="12"/>
      <c r="V8" s="12"/>
      <c r="W8" s="12"/>
      <c r="X8" s="12"/>
      <c r="Y8" s="12"/>
    </row>
    <row r="9" spans="1:32" ht="16.149999999999999" thickTop="1">
      <c r="S9" s="5"/>
      <c r="T9" s="44"/>
      <c r="U9" s="131" t="s">
        <v>16</v>
      </c>
      <c r="V9" s="44"/>
      <c r="W9" s="12"/>
      <c r="X9" s="12"/>
      <c r="Y9" s="12"/>
    </row>
    <row r="10" spans="1:32" ht="15.6">
      <c r="A10" s="2"/>
      <c r="B10" s="2" t="s">
        <v>17</v>
      </c>
      <c r="C10" s="2" t="s">
        <v>18</v>
      </c>
      <c r="D10" s="2" t="s">
        <v>19</v>
      </c>
      <c r="F10" s="79">
        <v>0.2</v>
      </c>
      <c r="S10" s="5"/>
      <c r="T10" s="131">
        <v>4.2</v>
      </c>
      <c r="U10" s="13">
        <f>T10*AF3</f>
        <v>11.351351351351351</v>
      </c>
      <c r="V10" s="13"/>
      <c r="W10" s="12"/>
      <c r="X10" s="12"/>
      <c r="Y10" s="12"/>
    </row>
    <row r="11" spans="1:32" ht="15.6">
      <c r="A11" s="2"/>
      <c r="B11" s="2" t="s">
        <v>20</v>
      </c>
      <c r="C11" s="20">
        <f>U17*U18</f>
        <v>79.766252739225706</v>
      </c>
      <c r="D11" s="1">
        <f>ROUNDUP(C11,-1)*F34</f>
        <v>16</v>
      </c>
      <c r="E11" s="1">
        <v>16</v>
      </c>
      <c r="S11" s="5"/>
      <c r="T11" s="45">
        <v>4</v>
      </c>
      <c r="U11" s="13">
        <f>T11*AF3</f>
        <v>10.810810810810811</v>
      </c>
      <c r="V11" s="13"/>
      <c r="W11" s="12"/>
      <c r="X11" s="12"/>
      <c r="Y11" s="12"/>
    </row>
    <row r="12" spans="1:32" ht="15.6">
      <c r="A12" s="2"/>
      <c r="B12" s="2" t="s">
        <v>15</v>
      </c>
      <c r="C12" s="20">
        <f>U10*U11</f>
        <v>122.71731190650108</v>
      </c>
      <c r="D12" s="1">
        <f>ROUNDUP(C12,-1)*F34</f>
        <v>26</v>
      </c>
      <c r="E12" s="1">
        <v>26</v>
      </c>
      <c r="S12" s="5"/>
      <c r="T12" s="11"/>
      <c r="U12" s="12"/>
      <c r="V12" s="12"/>
      <c r="W12" s="12"/>
      <c r="X12" s="12"/>
      <c r="Y12" s="12"/>
    </row>
    <row r="13" spans="1:32" ht="15.6">
      <c r="A13" s="76"/>
      <c r="B13" s="76" t="s">
        <v>21</v>
      </c>
      <c r="C13" s="77">
        <f>(U24*U25)+(U26*U27)+(U28*U29)</f>
        <v>324.03214024835648</v>
      </c>
      <c r="D13" s="76">
        <f>ROUNDUP(C13,-1)*F34</f>
        <v>66</v>
      </c>
      <c r="E13" s="76">
        <v>5</v>
      </c>
      <c r="F13" s="155" t="s">
        <v>22</v>
      </c>
      <c r="G13" s="155"/>
      <c r="S13" s="5"/>
      <c r="T13" s="11"/>
      <c r="U13" s="12"/>
      <c r="V13" s="12"/>
      <c r="W13" s="12"/>
      <c r="X13" s="12"/>
      <c r="Y13" s="12"/>
    </row>
    <row r="14" spans="1:32" ht="15.6">
      <c r="A14" s="154" t="s">
        <v>23</v>
      </c>
      <c r="B14" s="154"/>
      <c r="C14" s="77">
        <f>C19*C20</f>
        <v>16.654492330168004</v>
      </c>
      <c r="D14" s="76">
        <f>ROUNDUP(C14,-1)*F34</f>
        <v>4</v>
      </c>
      <c r="E14" s="76">
        <v>5</v>
      </c>
      <c r="F14" s="155"/>
      <c r="G14" s="155"/>
      <c r="S14" s="5"/>
      <c r="T14" s="11"/>
      <c r="U14" s="12"/>
      <c r="V14" s="12"/>
      <c r="W14" s="12"/>
      <c r="X14" s="12"/>
      <c r="Y14" s="12"/>
    </row>
    <row r="15" spans="1:32" ht="15.6">
      <c r="S15" s="6" t="s">
        <v>20</v>
      </c>
      <c r="T15" s="22"/>
      <c r="U15" s="15"/>
      <c r="V15" s="15"/>
      <c r="W15" s="15"/>
      <c r="X15" s="15"/>
      <c r="Y15" s="15"/>
    </row>
    <row r="16" spans="1:32" ht="15.6">
      <c r="S16" s="6"/>
      <c r="T16" s="22"/>
      <c r="U16" s="133" t="s">
        <v>24</v>
      </c>
      <c r="V16" s="50"/>
      <c r="W16" s="15"/>
      <c r="X16" s="15"/>
      <c r="Y16" s="15"/>
    </row>
    <row r="17" spans="1:25" ht="15.6">
      <c r="D17" s="1">
        <f>C12/9</f>
        <v>13.635256878500121</v>
      </c>
      <c r="S17" s="6"/>
      <c r="T17" s="133">
        <v>4.2</v>
      </c>
      <c r="U17" s="21">
        <f>T17*AF3</f>
        <v>11.351351351351351</v>
      </c>
      <c r="V17" s="21"/>
      <c r="W17" s="15"/>
      <c r="X17" s="15"/>
      <c r="Y17" s="15"/>
    </row>
    <row r="18" spans="1:25" ht="15.6">
      <c r="A18" s="2"/>
      <c r="B18" s="2" t="s">
        <v>25</v>
      </c>
      <c r="C18" s="2" t="s">
        <v>26</v>
      </c>
      <c r="S18" s="6"/>
      <c r="T18" s="133">
        <v>2.6</v>
      </c>
      <c r="U18" s="21">
        <f>T18*AF3</f>
        <v>7.0270270270270272</v>
      </c>
      <c r="V18" s="21"/>
      <c r="W18" s="15"/>
      <c r="X18" s="15"/>
      <c r="Y18" s="15"/>
    </row>
    <row r="19" spans="1:25" ht="15.6">
      <c r="B19" s="1">
        <v>0.6</v>
      </c>
      <c r="C19" s="89">
        <f>B19*AF3</f>
        <v>1.6216216216216215</v>
      </c>
      <c r="D19" s="20"/>
      <c r="E19" s="115"/>
      <c r="S19" s="6"/>
      <c r="T19" s="22"/>
      <c r="U19" s="15"/>
      <c r="V19" s="15"/>
      <c r="W19" s="15"/>
      <c r="X19" s="15"/>
      <c r="Y19" s="15"/>
    </row>
    <row r="20" spans="1:25" ht="15.6">
      <c r="B20" s="1">
        <v>3.8</v>
      </c>
      <c r="C20" s="89">
        <f>B20*AF3</f>
        <v>10.27027027027027</v>
      </c>
      <c r="D20" s="20"/>
      <c r="S20" s="6"/>
      <c r="T20" s="22"/>
      <c r="U20" s="15"/>
      <c r="V20" s="15"/>
      <c r="W20" s="15"/>
      <c r="X20" s="15"/>
      <c r="Y20" s="15"/>
    </row>
    <row r="21" spans="1:25" ht="15.6">
      <c r="S21" s="7" t="s">
        <v>21</v>
      </c>
      <c r="T21" s="23"/>
      <c r="U21" s="16"/>
      <c r="V21" s="16"/>
      <c r="W21" s="16"/>
      <c r="X21" s="16"/>
      <c r="Y21" s="16"/>
    </row>
    <row r="22" spans="1:25" ht="15.6">
      <c r="S22" s="7"/>
      <c r="T22" s="23"/>
      <c r="U22" s="16"/>
      <c r="V22" s="16"/>
      <c r="W22" s="16"/>
      <c r="X22" s="16"/>
      <c r="Y22" s="16"/>
    </row>
    <row r="23" spans="1:25" ht="14.45">
      <c r="S23" s="3"/>
      <c r="T23" s="23"/>
      <c r="U23" s="46" t="s">
        <v>24</v>
      </c>
      <c r="V23" s="51"/>
      <c r="W23" s="16"/>
      <c r="X23" s="16"/>
      <c r="Y23" s="16"/>
    </row>
    <row r="24" spans="1:25" ht="15.6">
      <c r="S24" s="7"/>
      <c r="T24" s="46">
        <v>9.6999999999999993</v>
      </c>
      <c r="U24" s="52">
        <f>T24*AF3</f>
        <v>26.216216216216214</v>
      </c>
      <c r="V24" s="52"/>
      <c r="W24" s="16"/>
      <c r="X24" s="16"/>
      <c r="Y24" s="16"/>
    </row>
    <row r="25" spans="1:25" ht="15.6">
      <c r="S25" s="7"/>
      <c r="T25" s="46">
        <v>3.2</v>
      </c>
      <c r="U25" s="52">
        <f>T25*AF3</f>
        <v>8.6486486486486491</v>
      </c>
      <c r="V25" s="52"/>
      <c r="W25" s="16"/>
      <c r="X25" s="16"/>
      <c r="Y25" s="16"/>
    </row>
    <row r="26" spans="1:25" ht="15.6">
      <c r="S26" s="7"/>
      <c r="T26" s="46">
        <v>1.2</v>
      </c>
      <c r="U26" s="52">
        <f>T26*AF3</f>
        <v>3.243243243243243</v>
      </c>
      <c r="V26" s="52"/>
      <c r="W26" s="16"/>
      <c r="X26" s="16"/>
      <c r="Y26" s="16"/>
    </row>
    <row r="27" spans="1:25" ht="15.6">
      <c r="S27" s="7"/>
      <c r="T27" s="46">
        <v>7.5</v>
      </c>
      <c r="U27" s="52">
        <f>T27*AF3</f>
        <v>20.27027027027027</v>
      </c>
      <c r="V27" s="52"/>
      <c r="W27" s="16"/>
      <c r="X27" s="16"/>
      <c r="Y27" s="16"/>
    </row>
    <row r="28" spans="1:25" ht="15.6">
      <c r="S28" s="7"/>
      <c r="T28" s="46">
        <v>1.8</v>
      </c>
      <c r="U28" s="52">
        <f>T28*AF3</f>
        <v>4.8648648648648649</v>
      </c>
      <c r="V28" s="52"/>
      <c r="W28" s="16"/>
      <c r="X28" s="16"/>
      <c r="Y28" s="16"/>
    </row>
    <row r="29" spans="1:25" ht="15.6">
      <c r="S29" s="7"/>
      <c r="T29" s="46">
        <v>2.4</v>
      </c>
      <c r="U29" s="52">
        <f>T29*AF3</f>
        <v>6.486486486486486</v>
      </c>
      <c r="V29" s="52"/>
      <c r="W29" s="16"/>
      <c r="X29" s="16"/>
      <c r="Y29" s="16"/>
    </row>
    <row r="30" spans="1:25" ht="15.6">
      <c r="S30" s="7"/>
      <c r="T30" s="23"/>
      <c r="U30" s="16"/>
      <c r="V30" s="16"/>
      <c r="W30" s="16"/>
      <c r="X30" s="16"/>
      <c r="Y30" s="16"/>
    </row>
    <row r="31" spans="1:25" ht="15.6">
      <c r="S31" s="7"/>
      <c r="T31" s="23"/>
      <c r="U31" s="16"/>
      <c r="V31" s="16"/>
      <c r="W31" s="16"/>
      <c r="X31" s="16"/>
      <c r="Y31" s="16"/>
    </row>
    <row r="32" spans="1:25" ht="17.45" thickBot="1">
      <c r="B32" s="153" t="s">
        <v>27</v>
      </c>
      <c r="C32" s="153"/>
      <c r="D32" s="153"/>
      <c r="S32" s="8" t="s">
        <v>28</v>
      </c>
      <c r="T32" s="24"/>
      <c r="U32" s="17"/>
      <c r="V32" s="53"/>
      <c r="W32" s="17"/>
      <c r="X32" s="17"/>
      <c r="Y32" s="17"/>
    </row>
    <row r="33" spans="2:25" ht="16.149999999999999" thickTop="1">
      <c r="S33" s="8"/>
      <c r="T33" s="24"/>
      <c r="U33" s="47" t="s">
        <v>24</v>
      </c>
      <c r="V33" s="54"/>
      <c r="W33" s="17"/>
      <c r="X33" s="17"/>
      <c r="Y33" s="17"/>
    </row>
    <row r="34" spans="2:25" ht="15.6">
      <c r="B34" s="2" t="s">
        <v>17</v>
      </c>
      <c r="C34" s="2" t="s">
        <v>18</v>
      </c>
      <c r="D34" s="2" t="s">
        <v>29</v>
      </c>
      <c r="F34" s="79">
        <v>0.2</v>
      </c>
      <c r="S34" s="8"/>
      <c r="T34" s="47">
        <v>6.9</v>
      </c>
      <c r="U34" s="27">
        <f>T34*AF3</f>
        <v>18.648648648648649</v>
      </c>
      <c r="V34" s="55"/>
      <c r="W34" s="17"/>
      <c r="X34" s="17"/>
      <c r="Y34" s="17"/>
    </row>
    <row r="35" spans="2:25" ht="15.6">
      <c r="B35" s="2" t="s">
        <v>28</v>
      </c>
      <c r="C35" s="14">
        <f>U34*U35</f>
        <v>216.72753834915997</v>
      </c>
      <c r="S35" s="8"/>
      <c r="T35" s="47">
        <v>4.3</v>
      </c>
      <c r="U35" s="27">
        <f>T35*AF3</f>
        <v>11.621621621621621</v>
      </c>
      <c r="V35" s="55"/>
      <c r="W35" s="17"/>
      <c r="X35" s="17"/>
      <c r="Y35" s="17"/>
    </row>
    <row r="36" spans="2:25" ht="15.6">
      <c r="B36" s="2" t="s">
        <v>30</v>
      </c>
      <c r="C36" s="14">
        <f>U48*U49</f>
        <v>40.90577063550036</v>
      </c>
      <c r="D36" s="1">
        <f>ROUNDUP(C36,-1)*F34</f>
        <v>10</v>
      </c>
      <c r="S36" s="8"/>
      <c r="T36" s="24"/>
      <c r="U36" s="17"/>
      <c r="V36" s="53"/>
      <c r="W36" s="17"/>
      <c r="X36" s="17"/>
      <c r="Y36" s="17"/>
    </row>
    <row r="37" spans="2:25" ht="15.6">
      <c r="B37" s="2" t="s">
        <v>31</v>
      </c>
      <c r="C37" s="14">
        <f>U59*U60</f>
        <v>81.665449233016801</v>
      </c>
      <c r="D37" s="1">
        <f>ROUNDUP(C37,-1)*F34</f>
        <v>18</v>
      </c>
      <c r="S37" s="8"/>
      <c r="T37" s="24"/>
      <c r="U37" s="17"/>
      <c r="V37" s="53"/>
      <c r="W37" s="17"/>
      <c r="X37" s="17"/>
      <c r="Y37" s="17"/>
    </row>
    <row r="38" spans="2:25" ht="15.6">
      <c r="B38" s="2" t="s">
        <v>32</v>
      </c>
      <c r="C38" s="14">
        <f>U69*U70</f>
        <v>128.78013148283418</v>
      </c>
      <c r="D38" s="1">
        <f>ROUNDUP(C38,-1)*F34</f>
        <v>26</v>
      </c>
      <c r="S38" s="8"/>
      <c r="T38" s="24"/>
      <c r="U38" s="17"/>
      <c r="V38" s="53"/>
      <c r="W38" s="17"/>
      <c r="X38" s="17"/>
      <c r="Y38" s="17"/>
    </row>
    <row r="39" spans="2:25" ht="15.6">
      <c r="B39" s="2" t="s">
        <v>33</v>
      </c>
      <c r="C39" s="14">
        <f>U78*U79</f>
        <v>22.498173849525202</v>
      </c>
      <c r="S39" s="8"/>
      <c r="T39" s="24"/>
      <c r="U39" s="17"/>
      <c r="V39" s="53"/>
      <c r="W39" s="17"/>
      <c r="X39" s="17"/>
      <c r="Y39" s="17"/>
    </row>
    <row r="40" spans="2:25" ht="15.6">
      <c r="S40" s="8"/>
      <c r="T40" s="24"/>
      <c r="U40" s="17"/>
      <c r="V40" s="53"/>
      <c r="W40" s="17"/>
      <c r="X40" s="17"/>
      <c r="Y40" s="17"/>
    </row>
    <row r="41" spans="2:25" ht="15.6">
      <c r="S41" s="8"/>
      <c r="T41" s="24"/>
      <c r="U41" s="17"/>
      <c r="V41" s="53"/>
      <c r="W41" s="17"/>
      <c r="X41" s="17"/>
      <c r="Y41" s="17"/>
    </row>
    <row r="42" spans="2:25" ht="15.6">
      <c r="S42" s="8"/>
      <c r="T42" s="24"/>
      <c r="U42" s="17"/>
      <c r="V42" s="53"/>
      <c r="W42" s="17"/>
      <c r="X42" s="17"/>
      <c r="Y42" s="17"/>
    </row>
    <row r="43" spans="2:25" ht="15.6">
      <c r="S43" s="8"/>
      <c r="T43" s="24"/>
      <c r="U43" s="17"/>
      <c r="V43" s="53"/>
      <c r="W43" s="17"/>
      <c r="X43" s="17"/>
      <c r="Y43" s="17"/>
    </row>
    <row r="44" spans="2:25" ht="15.6">
      <c r="S44" s="8"/>
      <c r="T44" s="24"/>
      <c r="U44" s="17"/>
      <c r="V44" s="53"/>
      <c r="W44" s="17"/>
      <c r="X44" s="17"/>
      <c r="Y44" s="17"/>
    </row>
    <row r="45" spans="2:25" ht="15.6">
      <c r="S45" s="8"/>
      <c r="T45" s="24"/>
      <c r="U45" s="17"/>
      <c r="V45" s="53"/>
      <c r="W45" s="17"/>
      <c r="X45" s="17"/>
      <c r="Y45" s="17"/>
    </row>
    <row r="46" spans="2:25" ht="15.6">
      <c r="S46" s="9" t="s">
        <v>30</v>
      </c>
      <c r="T46" s="25"/>
      <c r="U46" s="19"/>
      <c r="V46" s="56"/>
      <c r="W46" s="19"/>
      <c r="X46" s="19"/>
      <c r="Y46" s="19"/>
    </row>
    <row r="47" spans="2:25" ht="15.6">
      <c r="S47" s="9"/>
      <c r="T47" s="25"/>
      <c r="U47" s="65" t="s">
        <v>24</v>
      </c>
      <c r="V47" s="57"/>
      <c r="W47" s="19"/>
      <c r="X47" s="19"/>
      <c r="Y47" s="19"/>
    </row>
    <row r="48" spans="2:25" ht="15.6">
      <c r="S48" s="9"/>
      <c r="T48" s="65">
        <v>2.8</v>
      </c>
      <c r="U48" s="28">
        <f>T48*AF3</f>
        <v>7.5675675675675667</v>
      </c>
      <c r="V48" s="58"/>
      <c r="W48" s="19"/>
      <c r="X48" s="19"/>
      <c r="Y48" s="19"/>
    </row>
    <row r="49" spans="19:25" ht="15.6">
      <c r="S49" s="9"/>
      <c r="T49" s="65">
        <v>2</v>
      </c>
      <c r="U49" s="28">
        <f>T49*AF3</f>
        <v>5.4054054054054053</v>
      </c>
      <c r="V49" s="58"/>
      <c r="W49" s="19"/>
      <c r="X49" s="19"/>
      <c r="Y49" s="19"/>
    </row>
    <row r="50" spans="19:25" ht="15.6">
      <c r="S50" s="9"/>
      <c r="T50" s="25"/>
      <c r="U50" s="19"/>
      <c r="V50" s="56"/>
      <c r="W50" s="19"/>
      <c r="X50" s="19"/>
      <c r="Y50" s="19"/>
    </row>
    <row r="51" spans="19:25" ht="15.6">
      <c r="S51" s="9"/>
      <c r="T51" s="25"/>
      <c r="U51" s="19"/>
      <c r="V51" s="56"/>
      <c r="W51" s="19"/>
      <c r="X51" s="19"/>
      <c r="Y51" s="19"/>
    </row>
    <row r="52" spans="19:25" ht="15.6">
      <c r="S52" s="9"/>
      <c r="T52" s="25"/>
      <c r="U52" s="19"/>
      <c r="V52" s="56"/>
      <c r="W52" s="19"/>
      <c r="X52" s="19"/>
      <c r="Y52" s="19"/>
    </row>
    <row r="53" spans="19:25" ht="15.6">
      <c r="S53" s="9"/>
      <c r="T53" s="25"/>
      <c r="U53" s="19"/>
      <c r="V53" s="56"/>
      <c r="W53" s="19"/>
      <c r="X53" s="19"/>
      <c r="Y53" s="19"/>
    </row>
    <row r="54" spans="19:25" ht="15.6">
      <c r="S54" s="9"/>
      <c r="T54" s="25"/>
      <c r="U54" s="19"/>
      <c r="V54" s="56"/>
      <c r="W54" s="19"/>
      <c r="X54" s="19"/>
      <c r="Y54" s="19"/>
    </row>
    <row r="55" spans="19:25" ht="15.6">
      <c r="S55" s="9"/>
      <c r="T55" s="25"/>
      <c r="U55" s="19"/>
      <c r="V55" s="56"/>
      <c r="W55" s="19"/>
      <c r="X55" s="19"/>
      <c r="Y55" s="19"/>
    </row>
    <row r="56" spans="19:25" ht="15.6">
      <c r="S56" s="9"/>
      <c r="T56" s="25"/>
      <c r="U56" s="19"/>
      <c r="V56" s="56"/>
      <c r="W56" s="19"/>
      <c r="X56" s="19"/>
      <c r="Y56" s="19"/>
    </row>
    <row r="57" spans="19:25" ht="15.6">
      <c r="S57" s="10" t="s">
        <v>31</v>
      </c>
      <c r="T57" s="26"/>
      <c r="U57" s="18"/>
      <c r="V57" s="59"/>
      <c r="W57" s="18"/>
      <c r="X57" s="18"/>
      <c r="Y57" s="18"/>
    </row>
    <row r="58" spans="19:25" ht="15.6">
      <c r="S58" s="10"/>
      <c r="T58" s="26"/>
      <c r="U58" s="49" t="s">
        <v>24</v>
      </c>
      <c r="V58" s="59"/>
      <c r="W58" s="18"/>
      <c r="X58" s="18"/>
      <c r="Y58" s="18"/>
    </row>
    <row r="59" spans="19:25" ht="15.6">
      <c r="S59" s="10"/>
      <c r="T59" s="48">
        <v>4.3</v>
      </c>
      <c r="U59" s="29">
        <f>T59*AF3</f>
        <v>11.621621621621621</v>
      </c>
      <c r="V59" s="60"/>
      <c r="W59" s="18"/>
      <c r="X59" s="18"/>
      <c r="Y59" s="18"/>
    </row>
    <row r="60" spans="19:25" ht="15.6">
      <c r="S60" s="10"/>
      <c r="T60" s="48">
        <v>2.6</v>
      </c>
      <c r="U60" s="29">
        <f>T60*AF3</f>
        <v>7.0270270270270272</v>
      </c>
      <c r="V60" s="60"/>
      <c r="W60" s="18"/>
      <c r="X60" s="18"/>
      <c r="Y60" s="18"/>
    </row>
    <row r="61" spans="19:25" ht="15.6">
      <c r="S61" s="10"/>
      <c r="T61" s="26"/>
      <c r="U61" s="18"/>
      <c r="V61" s="59"/>
      <c r="W61" s="18"/>
      <c r="X61" s="18"/>
      <c r="Y61" s="18"/>
    </row>
    <row r="62" spans="19:25" ht="15.6">
      <c r="S62" s="10"/>
      <c r="T62" s="26"/>
      <c r="U62" s="18"/>
      <c r="V62" s="59"/>
      <c r="W62" s="18"/>
      <c r="X62" s="18"/>
      <c r="Y62" s="18"/>
    </row>
    <row r="63" spans="19:25" ht="15.6">
      <c r="S63" s="10"/>
      <c r="T63" s="26"/>
      <c r="U63" s="18"/>
      <c r="V63" s="59"/>
      <c r="W63" s="18"/>
      <c r="X63" s="18"/>
      <c r="Y63" s="18"/>
    </row>
    <row r="64" spans="19:25" ht="15.6">
      <c r="S64" s="10"/>
      <c r="T64" s="26"/>
      <c r="U64" s="18"/>
      <c r="V64" s="59"/>
      <c r="W64" s="18"/>
      <c r="X64" s="18"/>
      <c r="Y64" s="18"/>
    </row>
    <row r="65" spans="19:25" ht="15.6">
      <c r="S65" s="10"/>
      <c r="T65" s="26"/>
      <c r="U65" s="18"/>
      <c r="V65" s="59"/>
      <c r="W65" s="18"/>
      <c r="X65" s="18"/>
      <c r="Y65" s="18"/>
    </row>
    <row r="66" spans="19:25" ht="15.6">
      <c r="S66" s="10"/>
      <c r="T66" s="26"/>
      <c r="U66" s="18"/>
      <c r="V66" s="59"/>
      <c r="W66" s="18"/>
      <c r="X66" s="18"/>
      <c r="Y66" s="18"/>
    </row>
    <row r="67" spans="19:25" ht="15.6">
      <c r="S67" s="5" t="s">
        <v>32</v>
      </c>
      <c r="T67" s="11"/>
      <c r="U67" s="12"/>
      <c r="V67" s="61"/>
      <c r="W67" s="12"/>
      <c r="X67" s="12"/>
      <c r="Y67" s="12"/>
    </row>
    <row r="68" spans="19:25" ht="15.6">
      <c r="S68" s="5"/>
      <c r="T68" s="11"/>
      <c r="U68" s="130" t="s">
        <v>24</v>
      </c>
      <c r="V68" s="61"/>
      <c r="W68" s="12"/>
      <c r="X68" s="12"/>
      <c r="Y68" s="12"/>
    </row>
    <row r="69" spans="19:25" ht="15.6">
      <c r="S69" s="5"/>
      <c r="T69" s="131">
        <v>4.3</v>
      </c>
      <c r="U69" s="13">
        <f>T69*AF3</f>
        <v>11.621621621621621</v>
      </c>
      <c r="V69" s="62"/>
      <c r="W69" s="12"/>
      <c r="X69" s="12"/>
      <c r="Y69" s="12"/>
    </row>
    <row r="70" spans="19:25" ht="15.6">
      <c r="S70" s="5"/>
      <c r="T70" s="131">
        <v>4.0999999999999996</v>
      </c>
      <c r="U70" s="13">
        <f>T70*AF3</f>
        <v>11.081081081081081</v>
      </c>
      <c r="V70" s="62"/>
      <c r="W70" s="12"/>
      <c r="X70" s="12"/>
      <c r="Y70" s="12"/>
    </row>
    <row r="71" spans="19:25" ht="15.6">
      <c r="S71" s="5"/>
      <c r="T71" s="11"/>
      <c r="U71" s="12"/>
      <c r="V71" s="61"/>
      <c r="W71" s="12"/>
      <c r="X71" s="12"/>
      <c r="Y71" s="12"/>
    </row>
    <row r="72" spans="19:25" ht="15.6">
      <c r="S72" s="5"/>
      <c r="T72" s="11"/>
      <c r="U72" s="12"/>
      <c r="V72" s="61"/>
      <c r="W72" s="12"/>
      <c r="X72" s="12"/>
      <c r="Y72" s="12"/>
    </row>
    <row r="73" spans="19:25" ht="15.6">
      <c r="S73" s="5"/>
      <c r="T73" s="11"/>
      <c r="U73" s="12"/>
      <c r="V73" s="61"/>
      <c r="W73" s="12"/>
      <c r="X73" s="12"/>
      <c r="Y73" s="12"/>
    </row>
    <row r="74" spans="19:25" ht="15.6">
      <c r="S74" s="5"/>
      <c r="T74" s="11"/>
      <c r="U74" s="12"/>
      <c r="V74" s="61"/>
      <c r="W74" s="12"/>
      <c r="X74" s="12"/>
      <c r="Y74" s="12"/>
    </row>
    <row r="75" spans="19:25" ht="15.6">
      <c r="S75" s="5"/>
      <c r="T75" s="11"/>
      <c r="U75" s="12"/>
      <c r="V75" s="61"/>
      <c r="W75" s="12"/>
      <c r="X75" s="12"/>
      <c r="Y75" s="12"/>
    </row>
    <row r="76" spans="19:25" ht="15.6">
      <c r="S76" s="6" t="s">
        <v>33</v>
      </c>
      <c r="T76" s="22"/>
      <c r="U76" s="15"/>
      <c r="V76" s="63"/>
      <c r="W76" s="15"/>
      <c r="X76" s="15"/>
      <c r="Y76" s="15"/>
    </row>
    <row r="77" spans="19:25" ht="15.6">
      <c r="S77" s="6"/>
      <c r="T77" s="22"/>
      <c r="U77" s="129" t="s">
        <v>24</v>
      </c>
      <c r="V77" s="63"/>
      <c r="W77" s="15"/>
      <c r="X77" s="15"/>
      <c r="Y77" s="15"/>
    </row>
    <row r="78" spans="19:25" ht="15.6">
      <c r="S78" s="6"/>
      <c r="T78" s="133">
        <v>2.2000000000000002</v>
      </c>
      <c r="U78" s="21">
        <f>T78*AF3</f>
        <v>5.9459459459459465</v>
      </c>
      <c r="V78" s="64"/>
      <c r="W78" s="15"/>
      <c r="X78" s="15"/>
      <c r="Y78" s="15"/>
    </row>
    <row r="79" spans="19:25" ht="15.6">
      <c r="S79" s="6"/>
      <c r="T79" s="133">
        <v>1.4</v>
      </c>
      <c r="U79" s="21">
        <f>T79*AF3</f>
        <v>3.7837837837837833</v>
      </c>
      <c r="V79" s="64"/>
      <c r="W79" s="15"/>
      <c r="X79" s="15"/>
      <c r="Y79" s="15"/>
    </row>
    <row r="80" spans="19:25" ht="15.6">
      <c r="S80" s="6"/>
      <c r="T80" s="22"/>
      <c r="U80" s="15"/>
      <c r="V80" s="63"/>
      <c r="W80" s="15"/>
      <c r="X80" s="15"/>
      <c r="Y80" s="15"/>
    </row>
    <row r="81" spans="3:25" ht="15.6">
      <c r="S81" s="6"/>
      <c r="T81" s="22"/>
      <c r="U81" s="15"/>
      <c r="V81" s="63"/>
      <c r="W81" s="15"/>
      <c r="X81" s="15"/>
      <c r="Y81" s="15"/>
    </row>
    <row r="82" spans="3:25" ht="15.6">
      <c r="S82" s="6"/>
      <c r="T82" s="22"/>
      <c r="U82" s="15"/>
      <c r="V82" s="63"/>
      <c r="W82" s="15"/>
      <c r="X82" s="15"/>
      <c r="Y82" s="15"/>
    </row>
    <row r="83" spans="3:25" ht="15.6">
      <c r="S83" s="6"/>
      <c r="T83" s="22"/>
      <c r="U83" s="15"/>
      <c r="V83" s="63"/>
      <c r="W83" s="15"/>
      <c r="X83" s="15"/>
      <c r="Y83" s="15"/>
    </row>
    <row r="84" spans="3:25" ht="15.6">
      <c r="S84" s="6"/>
      <c r="T84" s="22"/>
      <c r="U84" s="15"/>
      <c r="V84" s="63"/>
      <c r="W84" s="15"/>
      <c r="X84" s="15"/>
      <c r="Y84" s="15"/>
    </row>
    <row r="85" spans="3:25" ht="15.6">
      <c r="S85" s="6"/>
      <c r="T85" s="22"/>
      <c r="U85" s="15"/>
      <c r="V85" s="15"/>
      <c r="W85" s="15"/>
      <c r="X85" s="15"/>
      <c r="Y85" s="15"/>
    </row>
    <row r="86" spans="3:25" ht="15.6">
      <c r="S86" s="6"/>
      <c r="T86" s="22"/>
      <c r="U86" s="15"/>
      <c r="V86" s="15"/>
      <c r="W86" s="15"/>
      <c r="X86" s="15"/>
      <c r="Y86" s="15"/>
    </row>
    <row r="87" spans="3:25" ht="15.6">
      <c r="S87" s="4"/>
    </row>
    <row r="88" spans="3:25" ht="15.6">
      <c r="S88" s="4"/>
    </row>
    <row r="89" spans="3:25" ht="18" customHeight="1">
      <c r="C89" s="148" t="s">
        <v>34</v>
      </c>
      <c r="D89" s="148"/>
      <c r="E89" s="148"/>
      <c r="F89" s="148"/>
      <c r="S89" s="4"/>
    </row>
    <row r="90" spans="3:25" ht="16.149999999999999" customHeight="1">
      <c r="C90" s="148"/>
      <c r="D90" s="148"/>
      <c r="E90" s="148"/>
      <c r="F90" s="148"/>
      <c r="S90" s="4"/>
    </row>
    <row r="91" spans="3:25" ht="15.6" customHeight="1" thickBot="1">
      <c r="C91" s="149"/>
      <c r="D91" s="149"/>
      <c r="E91" s="149"/>
      <c r="F91" s="149"/>
      <c r="S91" s="4"/>
    </row>
    <row r="92" spans="3:25" ht="14.45" thickTop="1"/>
    <row r="113" spans="27:60" ht="14.45"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</row>
    <row r="114" spans="27:60" ht="14.45"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</row>
    <row r="115" spans="27:60" ht="14.45"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</row>
    <row r="116" spans="27:60" ht="14.45"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</row>
    <row r="117" spans="27:60" ht="14.45"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</row>
    <row r="118" spans="27:60" ht="14.45"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</row>
    <row r="119" spans="27:60" ht="14.45"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</row>
    <row r="120" spans="27:60" ht="14.45"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</row>
    <row r="121" spans="27:60" ht="14.45"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</row>
    <row r="122" spans="27:60" ht="14.45"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</row>
    <row r="123" spans="27:60" ht="14.45"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</row>
    <row r="124" spans="27:60" ht="14.45">
      <c r="AA124" s="40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</row>
    <row r="125" spans="27:60" ht="14.45">
      <c r="AA125" s="117"/>
      <c r="AB125" s="117"/>
      <c r="AC125" s="117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17"/>
      <c r="BF125" s="117"/>
      <c r="BG125" s="117"/>
    </row>
    <row r="126" spans="27:60" ht="14.45">
      <c r="AA126" s="117"/>
      <c r="AB126" s="117"/>
      <c r="AC126" s="117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17"/>
      <c r="BF126" s="117"/>
      <c r="BG126" s="117"/>
    </row>
    <row r="127" spans="27:60" ht="14.45">
      <c r="AA127" s="117"/>
      <c r="AB127" s="117"/>
      <c r="AC127" s="117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17"/>
      <c r="BF127" s="117"/>
      <c r="BG127" s="117"/>
    </row>
    <row r="128" spans="27:60" ht="14.45">
      <c r="AA128" s="117"/>
      <c r="AB128" s="117"/>
      <c r="AC128" s="117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  <c r="AU128" s="128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17"/>
      <c r="BF128" s="117"/>
      <c r="BG128" s="117"/>
      <c r="BH128" s="117"/>
    </row>
    <row r="129" spans="1:60" ht="14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37" t="s">
        <v>35</v>
      </c>
      <c r="R129" s="137"/>
      <c r="S129" s="2"/>
      <c r="U129" s="2"/>
      <c r="V129" s="2"/>
      <c r="AA129" s="117"/>
      <c r="AB129" s="117"/>
      <c r="AC129" s="117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  <c r="AU129" s="128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17"/>
      <c r="BF129" s="117"/>
      <c r="BG129" s="117"/>
      <c r="BH129" s="117"/>
    </row>
    <row r="130" spans="1:60" ht="14.45">
      <c r="A130" s="2"/>
      <c r="B130" s="2"/>
      <c r="C130" s="2"/>
      <c r="D130" s="137" t="s">
        <v>35</v>
      </c>
      <c r="E130" s="13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36</v>
      </c>
      <c r="R130" s="2"/>
      <c r="S130" s="2"/>
      <c r="U130" s="2"/>
      <c r="V130" s="2"/>
      <c r="AA130" s="117"/>
      <c r="AB130" s="117"/>
      <c r="AC130" s="117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17"/>
      <c r="BF130" s="117"/>
      <c r="BG130" s="117"/>
      <c r="BH130" s="117"/>
    </row>
    <row r="131" spans="1:60" ht="14.45">
      <c r="A131" s="2"/>
      <c r="B131" s="2"/>
      <c r="C131" s="2"/>
      <c r="D131" s="2" t="s">
        <v>37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16"/>
      <c r="R131" s="116"/>
      <c r="S131" s="116"/>
      <c r="T131" s="116"/>
      <c r="U131" s="116"/>
      <c r="V131" s="116"/>
      <c r="W131" s="117"/>
      <c r="X131" s="117"/>
      <c r="Y131" s="117"/>
      <c r="Z131" s="117"/>
      <c r="AA131" s="117"/>
      <c r="AB131" s="117"/>
      <c r="AC131" s="117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8"/>
      <c r="AU131" s="128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17"/>
      <c r="BF131" s="117"/>
      <c r="BG131" s="117"/>
      <c r="BH131" s="117"/>
    </row>
    <row r="132" spans="1:60" ht="14.45">
      <c r="A132" s="2"/>
      <c r="B132" s="2"/>
      <c r="C132" s="2"/>
      <c r="D132" s="2"/>
      <c r="E132" s="117"/>
      <c r="F132" s="117"/>
      <c r="G132" s="2"/>
      <c r="H132" s="2"/>
      <c r="I132" s="2"/>
      <c r="J132" s="2"/>
      <c r="K132" s="117"/>
      <c r="L132" s="117"/>
      <c r="M132" s="2"/>
      <c r="N132" s="2"/>
      <c r="O132" s="2"/>
      <c r="P132" s="2"/>
      <c r="Q132" s="132"/>
      <c r="R132" s="132"/>
      <c r="S132" s="116"/>
      <c r="T132" s="116"/>
      <c r="U132" s="138"/>
      <c r="V132" s="138"/>
      <c r="W132" s="145"/>
      <c r="X132" s="145"/>
      <c r="Y132" s="117"/>
      <c r="Z132" s="117"/>
      <c r="AA132" s="117"/>
      <c r="AB132" s="117"/>
      <c r="AC132" s="117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17"/>
      <c r="BF132" s="117"/>
      <c r="BG132" s="117"/>
      <c r="BH132" s="117"/>
    </row>
    <row r="133" spans="1:60" ht="14.45">
      <c r="C133" s="141" t="s">
        <v>38</v>
      </c>
      <c r="D133" s="141"/>
      <c r="E133" s="138"/>
      <c r="F133" s="138"/>
      <c r="G133" s="2"/>
      <c r="H133" s="2"/>
      <c r="I133" s="139" t="s">
        <v>39</v>
      </c>
      <c r="J133" s="139"/>
      <c r="K133" s="138"/>
      <c r="L133" s="138"/>
      <c r="M133" s="114"/>
      <c r="N133" s="2"/>
      <c r="O133" s="2"/>
      <c r="P133" s="141" t="s">
        <v>38</v>
      </c>
      <c r="Q133" s="141"/>
      <c r="R133" s="138"/>
      <c r="S133" s="138"/>
      <c r="U133" s="2"/>
      <c r="V133" s="139" t="s">
        <v>39</v>
      </c>
      <c r="W133" s="139"/>
      <c r="X133" s="138"/>
      <c r="Y133" s="138"/>
      <c r="Z133" s="116"/>
      <c r="AA133" s="117"/>
      <c r="AB133" s="117"/>
      <c r="AC133" s="117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  <c r="AU133" s="128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17"/>
      <c r="BF133" s="117"/>
      <c r="BG133" s="117"/>
      <c r="BH133" s="117"/>
    </row>
    <row r="134" spans="1:60" ht="14.45">
      <c r="B134" s="1" t="s">
        <v>40</v>
      </c>
      <c r="C134" s="142">
        <v>14.34</v>
      </c>
      <c r="D134" s="142"/>
      <c r="E134" s="145"/>
      <c r="F134" s="145"/>
      <c r="I134" s="140">
        <v>0.7</v>
      </c>
      <c r="J134" s="140"/>
      <c r="K134" s="145"/>
      <c r="L134" s="145"/>
      <c r="M134" s="112"/>
      <c r="O134" s="1" t="s">
        <v>30</v>
      </c>
      <c r="P134" s="142">
        <v>29.63</v>
      </c>
      <c r="Q134" s="142"/>
      <c r="R134" s="145"/>
      <c r="S134" s="145"/>
      <c r="T134" s="1"/>
      <c r="V134" s="140">
        <v>1.52</v>
      </c>
      <c r="W134" s="140"/>
      <c r="X134" s="145"/>
      <c r="Y134" s="145"/>
      <c r="Z134" s="117"/>
      <c r="AA134" s="117"/>
      <c r="AB134" s="117"/>
      <c r="AC134" s="117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8"/>
      <c r="AU134" s="128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17"/>
      <c r="BF134" s="117"/>
      <c r="BG134" s="117"/>
      <c r="BH134" s="117"/>
    </row>
    <row r="135" spans="1:60" ht="14.45">
      <c r="B135" s="1" t="s">
        <v>20</v>
      </c>
      <c r="C135" s="143">
        <v>183.6</v>
      </c>
      <c r="D135" s="144"/>
      <c r="E135" s="145"/>
      <c r="F135" s="145"/>
      <c r="I135" s="140">
        <v>2.16</v>
      </c>
      <c r="J135" s="140"/>
      <c r="K135" s="145"/>
      <c r="L135" s="145"/>
      <c r="M135" s="112"/>
      <c r="O135" s="1" t="s">
        <v>31</v>
      </c>
      <c r="P135" s="142">
        <v>86.94</v>
      </c>
      <c r="Q135" s="142"/>
      <c r="R135" s="145"/>
      <c r="S135" s="145"/>
      <c r="T135" s="1"/>
      <c r="V135" s="140">
        <v>0.88</v>
      </c>
      <c r="W135" s="140"/>
      <c r="X135" s="145"/>
      <c r="Y135" s="145"/>
      <c r="Z135" s="117"/>
      <c r="AA135" s="117"/>
      <c r="AB135" s="117"/>
      <c r="AC135" s="117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17"/>
      <c r="BF135" s="117"/>
      <c r="BG135" s="117"/>
      <c r="BH135" s="117"/>
    </row>
    <row r="136" spans="1:60" ht="14.45">
      <c r="B136" s="1">
        <v>10.199999999999999</v>
      </c>
      <c r="C136" s="142">
        <v>130.97</v>
      </c>
      <c r="D136" s="142"/>
      <c r="E136" s="145"/>
      <c r="F136" s="145"/>
      <c r="I136" s="140">
        <v>0.39</v>
      </c>
      <c r="J136" s="140"/>
      <c r="K136" s="145"/>
      <c r="L136" s="145"/>
      <c r="M136" s="112"/>
      <c r="O136" s="1" t="s">
        <v>32</v>
      </c>
      <c r="P136" s="142">
        <v>181.79</v>
      </c>
      <c r="Q136" s="142"/>
      <c r="R136" s="145"/>
      <c r="S136" s="145"/>
      <c r="T136" s="1"/>
      <c r="V136" s="140">
        <v>0.98</v>
      </c>
      <c r="W136" s="140"/>
      <c r="X136" s="145"/>
      <c r="Y136" s="145"/>
      <c r="Z136" s="117"/>
      <c r="AA136" s="117"/>
      <c r="AB136" s="117"/>
      <c r="AC136" s="117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28"/>
      <c r="AY136" s="128"/>
      <c r="AZ136" s="128"/>
      <c r="BA136" s="128"/>
      <c r="BB136" s="128"/>
      <c r="BC136" s="128"/>
      <c r="BD136" s="128"/>
      <c r="BE136" s="117"/>
      <c r="BF136" s="117"/>
      <c r="BG136" s="117"/>
      <c r="BH136" s="117"/>
    </row>
    <row r="137" spans="1:60" ht="14.45">
      <c r="C137" s="143"/>
      <c r="D137" s="144"/>
      <c r="E137" s="145"/>
      <c r="F137" s="145"/>
      <c r="I137" s="140">
        <v>1.03</v>
      </c>
      <c r="J137" s="140"/>
      <c r="K137" s="145"/>
      <c r="L137" s="145"/>
      <c r="M137" s="112"/>
      <c r="P137" s="142"/>
      <c r="Q137" s="142"/>
      <c r="R137" s="145"/>
      <c r="S137" s="145"/>
      <c r="T137" s="1"/>
      <c r="V137" s="140">
        <v>0.57999999999999996</v>
      </c>
      <c r="W137" s="140"/>
      <c r="X137" s="145"/>
      <c r="Y137" s="145"/>
      <c r="Z137" s="117"/>
      <c r="AA137" s="117"/>
      <c r="AB137" s="117"/>
      <c r="AC137" s="117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17"/>
      <c r="BF137" s="117"/>
      <c r="BG137" s="117"/>
      <c r="BH137" s="117"/>
    </row>
    <row r="138" spans="1:60" ht="14.45">
      <c r="C138" s="142"/>
      <c r="D138" s="142"/>
      <c r="E138" s="145"/>
      <c r="F138" s="145"/>
      <c r="I138" s="140">
        <v>0.82</v>
      </c>
      <c r="J138" s="140"/>
      <c r="K138" s="145"/>
      <c r="L138" s="145"/>
      <c r="M138" s="112"/>
      <c r="P138" s="142"/>
      <c r="Q138" s="142"/>
      <c r="R138" s="145"/>
      <c r="S138" s="145"/>
      <c r="T138" s="1"/>
      <c r="V138" s="140">
        <v>1.05</v>
      </c>
      <c r="W138" s="140"/>
      <c r="X138" s="145"/>
      <c r="Y138" s="145"/>
      <c r="Z138" s="117"/>
      <c r="AA138" s="117"/>
      <c r="AB138" s="117"/>
      <c r="AC138" s="117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8"/>
      <c r="BD138" s="128"/>
      <c r="BE138" s="117"/>
      <c r="BF138" s="117"/>
      <c r="BG138" s="117"/>
      <c r="BH138" s="117"/>
    </row>
    <row r="139" spans="1:60" ht="14.45">
      <c r="C139" s="142"/>
      <c r="D139" s="142"/>
      <c r="E139" s="145"/>
      <c r="F139" s="145"/>
      <c r="I139" s="140">
        <v>0.45</v>
      </c>
      <c r="J139" s="140"/>
      <c r="K139" s="145"/>
      <c r="L139" s="145"/>
      <c r="M139" s="112"/>
      <c r="P139" s="142"/>
      <c r="Q139" s="142"/>
      <c r="R139" s="145"/>
      <c r="S139" s="145"/>
      <c r="T139" s="1"/>
      <c r="V139" s="140">
        <v>0.67</v>
      </c>
      <c r="W139" s="140"/>
      <c r="X139" s="145"/>
      <c r="Y139" s="145"/>
      <c r="Z139" s="117"/>
      <c r="AA139" s="117"/>
      <c r="AB139" s="117"/>
      <c r="AC139" s="117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  <c r="AX139" s="128"/>
      <c r="AY139" s="128"/>
      <c r="AZ139" s="128"/>
      <c r="BA139" s="128"/>
      <c r="BB139" s="128"/>
      <c r="BC139" s="128"/>
      <c r="BD139" s="128"/>
      <c r="BE139" s="117"/>
      <c r="BF139" s="117"/>
      <c r="BG139" s="117"/>
      <c r="BH139" s="117"/>
    </row>
    <row r="140" spans="1:60" ht="14.45">
      <c r="C140" s="142"/>
      <c r="D140" s="142"/>
      <c r="E140" s="145"/>
      <c r="F140" s="145"/>
      <c r="G140" s="117"/>
      <c r="I140" s="140">
        <v>2.2799999999999998</v>
      </c>
      <c r="J140" s="140"/>
      <c r="K140" s="145"/>
      <c r="L140" s="145"/>
      <c r="M140" s="112"/>
      <c r="P140" s="142"/>
      <c r="Q140" s="142"/>
      <c r="R140" s="145"/>
      <c r="S140" s="145"/>
      <c r="T140" s="117"/>
      <c r="V140" s="140">
        <v>0.43</v>
      </c>
      <c r="W140" s="140"/>
      <c r="X140" s="145"/>
      <c r="Y140" s="145"/>
      <c r="Z140" s="117"/>
      <c r="AA140" s="117"/>
      <c r="AB140" s="117"/>
      <c r="AC140" s="117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17"/>
      <c r="BF140" s="117"/>
      <c r="BG140" s="117"/>
      <c r="BH140" s="117"/>
    </row>
    <row r="141" spans="1:60" ht="14.45">
      <c r="C141" s="142"/>
      <c r="D141" s="142"/>
      <c r="E141" s="145"/>
      <c r="F141" s="145"/>
      <c r="G141" s="117"/>
      <c r="I141" s="140">
        <v>0.89</v>
      </c>
      <c r="J141" s="140"/>
      <c r="K141" s="145"/>
      <c r="L141" s="145"/>
      <c r="M141" s="112"/>
      <c r="P141" s="142"/>
      <c r="Q141" s="142"/>
      <c r="R141" s="145"/>
      <c r="S141" s="145"/>
      <c r="T141" s="117"/>
      <c r="V141" s="140">
        <v>1.97</v>
      </c>
      <c r="W141" s="140"/>
      <c r="X141" s="145"/>
      <c r="Y141" s="145"/>
      <c r="Z141" s="117"/>
      <c r="AA141" s="117"/>
      <c r="AB141" s="117"/>
      <c r="AC141" s="117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  <c r="AX141" s="128"/>
      <c r="AY141" s="128"/>
      <c r="AZ141" s="128"/>
      <c r="BA141" s="128"/>
      <c r="BB141" s="128"/>
      <c r="BC141" s="128"/>
      <c r="BD141" s="128"/>
      <c r="BE141" s="117"/>
      <c r="BF141" s="117"/>
      <c r="BG141" s="117"/>
      <c r="BH141" s="117"/>
    </row>
    <row r="142" spans="1:60" ht="14.45">
      <c r="C142" s="142"/>
      <c r="D142" s="142"/>
      <c r="E142" s="145"/>
      <c r="F142" s="145"/>
      <c r="G142" s="117"/>
      <c r="I142" s="140">
        <v>0.12</v>
      </c>
      <c r="J142" s="140"/>
      <c r="K142" s="145"/>
      <c r="L142" s="145"/>
      <c r="M142" s="112"/>
      <c r="P142" s="142"/>
      <c r="Q142" s="142"/>
      <c r="R142" s="145"/>
      <c r="S142" s="145"/>
      <c r="T142" s="117"/>
      <c r="V142" s="140">
        <v>7.06</v>
      </c>
      <c r="W142" s="140"/>
      <c r="X142" s="145"/>
      <c r="Y142" s="145"/>
      <c r="Z142" s="117"/>
      <c r="AA142" s="117"/>
      <c r="AB142" s="117"/>
      <c r="AC142" s="117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17"/>
      <c r="BF142" s="117"/>
      <c r="BG142" s="117"/>
      <c r="BH142" s="117"/>
    </row>
    <row r="143" spans="1:60" ht="14.45">
      <c r="C143" s="142"/>
      <c r="D143" s="142"/>
      <c r="E143" s="145"/>
      <c r="F143" s="145"/>
      <c r="G143" s="117"/>
      <c r="I143" s="140">
        <v>3.78</v>
      </c>
      <c r="J143" s="140"/>
      <c r="K143" s="145"/>
      <c r="L143" s="145"/>
      <c r="M143" s="112"/>
      <c r="P143" s="142"/>
      <c r="Q143" s="142"/>
      <c r="R143" s="145"/>
      <c r="S143" s="145"/>
      <c r="T143" s="117"/>
      <c r="V143" s="140">
        <v>3.77</v>
      </c>
      <c r="W143" s="140"/>
      <c r="X143" s="145"/>
      <c r="Y143" s="145"/>
      <c r="Z143" s="117"/>
      <c r="AA143" s="117"/>
      <c r="AB143" s="117"/>
      <c r="AC143" s="117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17"/>
      <c r="BF143" s="117"/>
      <c r="BG143" s="117"/>
      <c r="BH143" s="117"/>
    </row>
    <row r="144" spans="1:60" ht="14.45">
      <c r="C144" s="142"/>
      <c r="D144" s="142"/>
      <c r="E144" s="145"/>
      <c r="F144" s="145"/>
      <c r="I144" s="140">
        <v>5.62</v>
      </c>
      <c r="J144" s="140"/>
      <c r="K144" s="145"/>
      <c r="L144" s="145"/>
      <c r="M144" s="112"/>
      <c r="P144" s="142"/>
      <c r="Q144" s="142"/>
      <c r="R144" s="145"/>
      <c r="S144" s="145"/>
      <c r="T144" s="1" t="s">
        <v>41</v>
      </c>
      <c r="U144" s="1" t="s">
        <v>42</v>
      </c>
      <c r="V144" s="140">
        <v>1.23</v>
      </c>
      <c r="W144" s="140"/>
      <c r="X144" s="145"/>
      <c r="Y144" s="145"/>
      <c r="Z144" s="117"/>
      <c r="AA144" s="117"/>
      <c r="AB144" s="117"/>
      <c r="AC144" s="117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17"/>
      <c r="BF144" s="117"/>
      <c r="BG144" s="117"/>
      <c r="BH144" s="117"/>
    </row>
    <row r="145" spans="3:60" ht="14.45">
      <c r="C145" s="142"/>
      <c r="D145" s="142"/>
      <c r="E145" s="145"/>
      <c r="F145" s="145"/>
      <c r="I145" s="140">
        <v>18.690000000000001</v>
      </c>
      <c r="J145" s="140"/>
      <c r="K145" s="145"/>
      <c r="L145" s="145"/>
      <c r="M145" s="112"/>
      <c r="P145" s="142"/>
      <c r="Q145" s="142"/>
      <c r="R145" s="145"/>
      <c r="S145" s="145"/>
      <c r="T145" s="1"/>
      <c r="V145" s="140">
        <v>2.91</v>
      </c>
      <c r="W145" s="140"/>
      <c r="X145" s="161"/>
      <c r="Y145" s="161"/>
      <c r="Z145" s="165" t="s">
        <v>43</v>
      </c>
      <c r="AA145" s="160"/>
      <c r="AB145" s="160"/>
      <c r="AC145" s="160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17"/>
      <c r="BF145" s="117"/>
      <c r="BG145" s="117"/>
      <c r="BH145" s="117"/>
    </row>
    <row r="146" spans="3:60" ht="14.45">
      <c r="C146" s="142"/>
      <c r="D146" s="142"/>
      <c r="E146" s="145"/>
      <c r="F146" s="145"/>
      <c r="I146" s="140">
        <v>1.48</v>
      </c>
      <c r="J146" s="140"/>
      <c r="K146" s="145"/>
      <c r="L146" s="145"/>
      <c r="M146" s="112"/>
      <c r="P146" s="142"/>
      <c r="Q146" s="142"/>
      <c r="R146" s="145"/>
      <c r="S146" s="145"/>
      <c r="T146" s="1"/>
      <c r="V146" s="140">
        <v>3.45</v>
      </c>
      <c r="W146" s="140"/>
      <c r="X146" s="161"/>
      <c r="Y146" s="161"/>
      <c r="Z146" s="160"/>
      <c r="AA146" s="160"/>
      <c r="AB146" s="160"/>
      <c r="AC146" s="160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17"/>
      <c r="BF146" s="117"/>
      <c r="BG146" s="117"/>
      <c r="BH146" s="117"/>
    </row>
    <row r="147" spans="3:60" ht="14.45">
      <c r="C147" s="142"/>
      <c r="D147" s="142"/>
      <c r="E147" s="158"/>
      <c r="F147" s="151"/>
      <c r="I147" s="140">
        <v>0.22</v>
      </c>
      <c r="J147" s="140"/>
      <c r="K147" s="145"/>
      <c r="L147" s="145"/>
      <c r="M147" s="112"/>
      <c r="P147" s="142"/>
      <c r="Q147" s="142"/>
      <c r="R147" s="145"/>
      <c r="S147" s="145"/>
      <c r="T147" s="1"/>
      <c r="V147" s="140">
        <v>0.67</v>
      </c>
      <c r="W147" s="140"/>
      <c r="X147" s="161"/>
      <c r="Y147" s="161"/>
      <c r="Z147" s="160"/>
      <c r="AA147" s="160"/>
      <c r="AB147" s="160"/>
      <c r="AC147" s="160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  <c r="AX147" s="128"/>
      <c r="AY147" s="128"/>
      <c r="AZ147" s="128"/>
      <c r="BA147" s="128"/>
      <c r="BB147" s="128"/>
      <c r="BC147" s="128"/>
      <c r="BD147" s="128"/>
      <c r="BE147" s="117"/>
      <c r="BF147" s="117"/>
      <c r="BG147" s="117"/>
      <c r="BH147" s="117"/>
    </row>
    <row r="148" spans="3:60" ht="14.45">
      <c r="C148" s="142"/>
      <c r="D148" s="142"/>
      <c r="E148" s="145" t="s">
        <v>44</v>
      </c>
      <c r="F148" s="145"/>
      <c r="I148" s="140">
        <v>3.1</v>
      </c>
      <c r="J148" s="140"/>
      <c r="K148" s="145"/>
      <c r="L148" s="145"/>
      <c r="M148" s="112"/>
      <c r="P148" s="142"/>
      <c r="Q148" s="142"/>
      <c r="R148" s="145"/>
      <c r="S148" s="145"/>
      <c r="T148" s="1"/>
      <c r="V148" s="140">
        <v>0.67</v>
      </c>
      <c r="W148" s="140"/>
      <c r="X148" s="161"/>
      <c r="Y148" s="161"/>
      <c r="Z148" s="160"/>
      <c r="AA148" s="160"/>
      <c r="AB148" s="160"/>
      <c r="AC148" s="160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17"/>
      <c r="BF148" s="117"/>
      <c r="BG148" s="117"/>
      <c r="BH148" s="117"/>
    </row>
    <row r="149" spans="3:60" ht="14.45">
      <c r="C149" s="142"/>
      <c r="D149" s="142"/>
      <c r="E149" s="145"/>
      <c r="F149" s="145"/>
      <c r="I149" s="140">
        <v>6.57</v>
      </c>
      <c r="J149" s="140"/>
      <c r="K149" s="145"/>
      <c r="L149" s="145"/>
      <c r="M149" s="112"/>
      <c r="P149" s="142"/>
      <c r="Q149" s="142"/>
      <c r="R149" s="145"/>
      <c r="S149" s="145"/>
      <c r="T149" s="1"/>
      <c r="V149" s="140">
        <v>0.67</v>
      </c>
      <c r="W149" s="140"/>
      <c r="X149" s="161"/>
      <c r="Y149" s="161"/>
      <c r="Z149" s="160"/>
      <c r="AA149" s="160"/>
      <c r="AB149" s="160"/>
      <c r="AC149" s="160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8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17"/>
      <c r="BF149" s="117"/>
      <c r="BG149" s="117"/>
      <c r="BH149" s="117"/>
    </row>
    <row r="150" spans="3:60" ht="14.45">
      <c r="C150" s="142"/>
      <c r="D150" s="142"/>
      <c r="E150" s="145"/>
      <c r="F150" s="145"/>
      <c r="I150" s="140">
        <v>0.22</v>
      </c>
      <c r="J150" s="140"/>
      <c r="K150" s="145"/>
      <c r="L150" s="145"/>
      <c r="M150" s="112"/>
      <c r="P150" s="142"/>
      <c r="Q150" s="142"/>
      <c r="R150" s="145" t="s">
        <v>44</v>
      </c>
      <c r="S150" s="145"/>
      <c r="T150" s="1"/>
      <c r="V150" s="140"/>
      <c r="W150" s="140"/>
      <c r="X150" s="145"/>
      <c r="Y150" s="145"/>
      <c r="Z150" s="117"/>
      <c r="AA150" s="117"/>
      <c r="AB150" s="117"/>
      <c r="AC150" s="117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8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17"/>
      <c r="BF150" s="117"/>
      <c r="BG150" s="117"/>
      <c r="BH150" s="117"/>
    </row>
    <row r="151" spans="3:60" ht="14.45">
      <c r="C151" s="142"/>
      <c r="D151" s="142"/>
      <c r="E151" s="145"/>
      <c r="F151" s="145"/>
      <c r="G151" s="1" t="s">
        <v>41</v>
      </c>
      <c r="H151" s="1" t="s">
        <v>42</v>
      </c>
      <c r="I151" s="140">
        <v>3.18</v>
      </c>
      <c r="J151" s="140"/>
      <c r="K151" s="145"/>
      <c r="L151" s="145"/>
      <c r="M151" s="112"/>
      <c r="P151" s="142"/>
      <c r="Q151" s="142"/>
      <c r="R151" s="145"/>
      <c r="S151" s="145"/>
      <c r="T151" s="1"/>
      <c r="V151" s="140"/>
      <c r="W151" s="140"/>
      <c r="X151" s="145"/>
      <c r="Y151" s="145"/>
      <c r="Z151" s="117"/>
      <c r="AA151" s="117"/>
      <c r="AB151" s="117"/>
      <c r="AC151" s="117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8"/>
      <c r="AR151" s="128"/>
      <c r="AS151" s="128"/>
      <c r="AT151" s="128"/>
      <c r="AU151" s="128"/>
      <c r="AV151" s="128"/>
      <c r="AW151" s="128"/>
      <c r="AX151" s="128"/>
      <c r="AY151" s="128"/>
      <c r="AZ151" s="128"/>
      <c r="BA151" s="128"/>
      <c r="BB151" s="128"/>
      <c r="BC151" s="128"/>
      <c r="BD151" s="128"/>
      <c r="BE151" s="117"/>
      <c r="BF151" s="117"/>
      <c r="BG151" s="117"/>
      <c r="BH151" s="117"/>
    </row>
    <row r="152" spans="3:60" ht="14.45">
      <c r="C152" s="142"/>
      <c r="D152" s="142"/>
      <c r="E152" s="145"/>
      <c r="F152" s="145"/>
      <c r="I152" s="140">
        <v>12.08</v>
      </c>
      <c r="J152" s="140"/>
      <c r="K152" s="145"/>
      <c r="L152" s="145"/>
      <c r="M152" s="112"/>
      <c r="P152" s="142"/>
      <c r="Q152" s="142"/>
      <c r="R152" s="145"/>
      <c r="S152" s="145"/>
      <c r="T152" s="1"/>
      <c r="V152" s="140"/>
      <c r="W152" s="140"/>
      <c r="X152" s="145"/>
      <c r="Y152" s="145"/>
      <c r="Z152" s="117"/>
      <c r="AA152" s="117"/>
      <c r="AB152" s="117"/>
      <c r="AC152" s="117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17"/>
      <c r="BF152" s="117"/>
      <c r="BG152" s="117"/>
      <c r="BH152" s="117"/>
    </row>
    <row r="153" spans="3:60" ht="14.45">
      <c r="C153" s="142"/>
      <c r="D153" s="142"/>
      <c r="E153" s="145"/>
      <c r="F153" s="145"/>
      <c r="I153" s="140">
        <v>2.15</v>
      </c>
      <c r="J153" s="140"/>
      <c r="K153" s="145"/>
      <c r="L153" s="145"/>
      <c r="M153" s="112"/>
      <c r="P153" s="142"/>
      <c r="Q153" s="142"/>
      <c r="R153" s="145"/>
      <c r="S153" s="145"/>
      <c r="T153" s="1"/>
      <c r="V153" s="140"/>
      <c r="W153" s="140"/>
      <c r="X153" s="145"/>
      <c r="Y153" s="145"/>
      <c r="Z153" s="117"/>
      <c r="AA153" s="117"/>
      <c r="AB153" s="117"/>
      <c r="AC153" s="117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128"/>
      <c r="AS153" s="128"/>
      <c r="AT153" s="128"/>
      <c r="AU153" s="128"/>
      <c r="AV153" s="128"/>
      <c r="AW153" s="128"/>
      <c r="AX153" s="128"/>
      <c r="AY153" s="128"/>
      <c r="AZ153" s="128"/>
      <c r="BA153" s="128"/>
      <c r="BB153" s="128"/>
      <c r="BC153" s="128"/>
      <c r="BD153" s="128"/>
      <c r="BE153" s="117"/>
      <c r="BF153" s="117"/>
      <c r="BG153" s="117"/>
      <c r="BH153" s="117"/>
    </row>
    <row r="154" spans="3:60" ht="14.45">
      <c r="C154" s="142"/>
      <c r="D154" s="142"/>
      <c r="E154" s="163" t="s">
        <v>43</v>
      </c>
      <c r="F154" s="160"/>
      <c r="G154" s="160"/>
      <c r="H154" s="1" t="s">
        <v>42</v>
      </c>
      <c r="I154" s="157">
        <v>0.39</v>
      </c>
      <c r="J154" s="157"/>
      <c r="K154" s="145"/>
      <c r="L154" s="145"/>
      <c r="M154" s="112"/>
      <c r="P154" s="142"/>
      <c r="Q154" s="142"/>
      <c r="R154" s="145"/>
      <c r="S154" s="145"/>
      <c r="T154" s="1"/>
      <c r="V154" s="140"/>
      <c r="W154" s="140"/>
      <c r="X154" s="145"/>
      <c r="Y154" s="145"/>
      <c r="Z154" s="117"/>
      <c r="AA154" s="117"/>
      <c r="AB154" s="117"/>
      <c r="AC154" s="117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128"/>
      <c r="AS154" s="128"/>
      <c r="AT154" s="128"/>
      <c r="AU154" s="128"/>
      <c r="AV154" s="128"/>
      <c r="AW154" s="128"/>
      <c r="AX154" s="128"/>
      <c r="AY154" s="128"/>
      <c r="AZ154" s="128"/>
      <c r="BA154" s="128"/>
      <c r="BB154" s="128"/>
      <c r="BC154" s="128"/>
      <c r="BD154" s="128"/>
      <c r="BE154" s="117"/>
      <c r="BF154" s="117"/>
      <c r="BG154" s="117"/>
      <c r="BH154" s="117"/>
    </row>
    <row r="155" spans="3:60" ht="14.45">
      <c r="C155" s="142"/>
      <c r="D155" s="142"/>
      <c r="E155" s="164"/>
      <c r="F155" s="160"/>
      <c r="G155" s="160"/>
      <c r="I155" s="157">
        <v>0.39</v>
      </c>
      <c r="J155" s="157"/>
      <c r="K155" s="145"/>
      <c r="L155" s="145"/>
      <c r="M155" s="112"/>
      <c r="P155" s="142"/>
      <c r="Q155" s="142"/>
      <c r="R155" s="145"/>
      <c r="S155" s="145"/>
      <c r="T155" s="1"/>
      <c r="V155" s="140"/>
      <c r="W155" s="140"/>
      <c r="X155" s="145"/>
      <c r="Y155" s="145"/>
      <c r="Z155" s="117"/>
      <c r="AA155" s="117"/>
      <c r="AB155" s="117"/>
      <c r="AC155" s="117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8"/>
      <c r="AU155" s="128"/>
      <c r="AV155" s="128"/>
      <c r="AW155" s="128"/>
      <c r="AX155" s="128"/>
      <c r="AY155" s="128"/>
      <c r="AZ155" s="128"/>
      <c r="BA155" s="128"/>
      <c r="BB155" s="128"/>
      <c r="BC155" s="128"/>
      <c r="BD155" s="128"/>
      <c r="BE155" s="117"/>
      <c r="BF155" s="117"/>
      <c r="BG155" s="117"/>
      <c r="BH155" s="117"/>
    </row>
    <row r="156" spans="3:60" ht="14.45">
      <c r="C156" s="142"/>
      <c r="D156" s="142"/>
      <c r="E156" s="164"/>
      <c r="F156" s="160"/>
      <c r="G156" s="160"/>
      <c r="I156" s="157">
        <v>0.39</v>
      </c>
      <c r="J156" s="157"/>
      <c r="K156" s="145"/>
      <c r="L156" s="145"/>
      <c r="M156" s="112"/>
      <c r="P156" s="142"/>
      <c r="Q156" s="142"/>
      <c r="R156" s="145"/>
      <c r="S156" s="145"/>
      <c r="T156" s="1"/>
      <c r="V156" s="140"/>
      <c r="W156" s="140"/>
      <c r="X156" s="145"/>
      <c r="Y156" s="145"/>
      <c r="Z156" s="117"/>
      <c r="AA156" s="117"/>
      <c r="AB156" s="117"/>
      <c r="AC156" s="117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28"/>
      <c r="BD156" s="128"/>
      <c r="BE156" s="117"/>
      <c r="BF156" s="117"/>
      <c r="BG156" s="117"/>
      <c r="BH156" s="117"/>
    </row>
    <row r="157" spans="3:60" ht="14.45">
      <c r="C157" s="142"/>
      <c r="D157" s="142"/>
      <c r="E157" s="164"/>
      <c r="F157" s="160"/>
      <c r="G157" s="160"/>
      <c r="I157" s="156">
        <v>2.16</v>
      </c>
      <c r="J157" s="156"/>
      <c r="K157" s="145"/>
      <c r="L157" s="145"/>
      <c r="M157" s="112"/>
      <c r="P157" s="142"/>
      <c r="Q157" s="142"/>
      <c r="R157" s="145"/>
      <c r="S157" s="145"/>
      <c r="T157" s="1"/>
      <c r="V157" s="140"/>
      <c r="W157" s="140"/>
      <c r="X157" s="145"/>
      <c r="Y157" s="145"/>
      <c r="Z157" s="117"/>
      <c r="AA157" s="117"/>
      <c r="AB157" s="117"/>
      <c r="AC157" s="117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28"/>
      <c r="AV157" s="128"/>
      <c r="AW157" s="128"/>
      <c r="AX157" s="128"/>
      <c r="AY157" s="128"/>
      <c r="AZ157" s="128"/>
      <c r="BA157" s="128"/>
      <c r="BB157" s="128"/>
      <c r="BC157" s="128"/>
      <c r="BD157" s="128"/>
      <c r="BE157" s="117"/>
      <c r="BF157" s="117"/>
      <c r="BG157" s="117"/>
      <c r="BH157" s="117"/>
    </row>
    <row r="158" spans="3:60" ht="14.45">
      <c r="C158" s="142"/>
      <c r="D158" s="142"/>
      <c r="E158" s="164"/>
      <c r="F158" s="160"/>
      <c r="G158" s="160"/>
      <c r="I158" s="156">
        <v>2.16</v>
      </c>
      <c r="J158" s="156"/>
      <c r="K158" s="145"/>
      <c r="L158" s="145"/>
      <c r="M158" s="112"/>
      <c r="P158" s="142"/>
      <c r="Q158" s="142"/>
      <c r="R158" s="145"/>
      <c r="S158" s="145"/>
      <c r="T158" s="1"/>
      <c r="V158" s="140"/>
      <c r="W158" s="140"/>
      <c r="X158" s="145"/>
      <c r="Y158" s="145"/>
      <c r="Z158" s="117"/>
      <c r="AA158" s="117"/>
      <c r="AB158" s="117"/>
      <c r="AC158" s="117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28"/>
      <c r="AV158" s="128"/>
      <c r="AW158" s="128"/>
      <c r="AX158" s="128"/>
      <c r="AY158" s="128"/>
      <c r="AZ158" s="128"/>
      <c r="BA158" s="128"/>
      <c r="BB158" s="128"/>
      <c r="BC158" s="128"/>
      <c r="BD158" s="128"/>
      <c r="BE158" s="117"/>
      <c r="BF158" s="117"/>
      <c r="BG158" s="117"/>
      <c r="BH158" s="117"/>
    </row>
    <row r="159" spans="3:60" ht="14.45">
      <c r="C159" s="142"/>
      <c r="D159" s="142"/>
      <c r="E159" s="145"/>
      <c r="F159" s="145"/>
      <c r="I159" s="156">
        <v>2.16</v>
      </c>
      <c r="J159" s="156"/>
      <c r="K159" s="145"/>
      <c r="L159" s="145"/>
      <c r="M159" s="112"/>
      <c r="P159" s="142"/>
      <c r="Q159" s="142"/>
      <c r="R159" s="145"/>
      <c r="S159" s="145"/>
      <c r="T159" s="1"/>
      <c r="V159" s="140"/>
      <c r="W159" s="140"/>
      <c r="X159" s="145"/>
      <c r="Y159" s="145"/>
      <c r="Z159" s="117"/>
      <c r="AA159" s="117"/>
      <c r="AB159" s="117"/>
      <c r="AC159" s="117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8"/>
      <c r="AT159" s="128"/>
      <c r="AU159" s="128"/>
      <c r="AV159" s="128"/>
      <c r="AW159" s="128"/>
      <c r="AX159" s="128"/>
      <c r="AY159" s="128"/>
      <c r="AZ159" s="128"/>
      <c r="BA159" s="128"/>
      <c r="BB159" s="128"/>
      <c r="BC159" s="128"/>
      <c r="BD159" s="128"/>
      <c r="BE159" s="117"/>
      <c r="BF159" s="117"/>
      <c r="BG159" s="117"/>
      <c r="BH159" s="117"/>
    </row>
    <row r="160" spans="3:60" ht="14.45">
      <c r="C160" s="142"/>
      <c r="D160" s="142"/>
      <c r="E160" s="145"/>
      <c r="F160" s="145"/>
      <c r="I160" s="140">
        <v>0.7</v>
      </c>
      <c r="J160" s="140"/>
      <c r="K160" s="145"/>
      <c r="L160" s="145"/>
      <c r="M160" s="112"/>
      <c r="P160" s="142"/>
      <c r="Q160" s="142"/>
      <c r="R160" s="145"/>
      <c r="S160" s="145"/>
      <c r="T160" s="1"/>
      <c r="V160" s="140"/>
      <c r="W160" s="140"/>
      <c r="X160" s="145"/>
      <c r="Y160" s="145"/>
      <c r="Z160" s="117"/>
      <c r="AA160" s="117"/>
      <c r="AB160" s="117"/>
      <c r="AC160" s="117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8"/>
      <c r="AT160" s="128"/>
      <c r="AU160" s="128"/>
      <c r="AV160" s="128"/>
      <c r="AW160" s="128"/>
      <c r="AX160" s="128"/>
      <c r="AY160" s="128"/>
      <c r="AZ160" s="128"/>
      <c r="BA160" s="128"/>
      <c r="BB160" s="128"/>
      <c r="BC160" s="128"/>
      <c r="BD160" s="128"/>
      <c r="BE160" s="117"/>
      <c r="BF160" s="117"/>
      <c r="BG160" s="117"/>
      <c r="BH160" s="117"/>
    </row>
    <row r="161" spans="1:61" ht="14.45">
      <c r="C161" s="142"/>
      <c r="D161" s="142"/>
      <c r="E161" s="145"/>
      <c r="F161" s="145"/>
      <c r="I161" s="140">
        <v>0.7</v>
      </c>
      <c r="J161" s="140"/>
      <c r="K161" s="145"/>
      <c r="L161" s="145"/>
      <c r="M161" s="112"/>
      <c r="P161" s="142"/>
      <c r="Q161" s="142"/>
      <c r="R161" s="145"/>
      <c r="S161" s="145"/>
      <c r="T161" s="1"/>
      <c r="V161" s="140"/>
      <c r="W161" s="140"/>
      <c r="X161" s="145"/>
      <c r="Y161" s="145"/>
      <c r="Z161" s="117"/>
      <c r="AA161" s="117"/>
      <c r="AB161" s="117"/>
      <c r="AC161" s="117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  <c r="AX161" s="128"/>
      <c r="AY161" s="128"/>
      <c r="AZ161" s="128"/>
      <c r="BA161" s="128"/>
      <c r="BB161" s="128"/>
      <c r="BC161" s="128"/>
      <c r="BD161" s="128"/>
      <c r="BE161" s="117"/>
      <c r="BF161" s="117"/>
      <c r="BG161" s="117"/>
      <c r="BH161" s="117"/>
    </row>
    <row r="162" spans="1:61" ht="14.45">
      <c r="C162" s="142"/>
      <c r="D162" s="142"/>
      <c r="E162" s="145"/>
      <c r="F162" s="145"/>
      <c r="I162" s="140">
        <v>0.7</v>
      </c>
      <c r="J162" s="140"/>
      <c r="K162" s="145"/>
      <c r="L162" s="145"/>
      <c r="M162" s="112"/>
      <c r="P162" s="142"/>
      <c r="Q162" s="142"/>
      <c r="R162" s="145"/>
      <c r="S162" s="145"/>
      <c r="T162" s="1"/>
      <c r="V162" s="140"/>
      <c r="W162" s="140"/>
      <c r="X162" s="145"/>
      <c r="Y162" s="145"/>
      <c r="Z162" s="117"/>
      <c r="AA162" s="117"/>
      <c r="AB162" s="117"/>
      <c r="AC162" s="117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8"/>
      <c r="AT162" s="128"/>
      <c r="AU162" s="128"/>
      <c r="AV162" s="128"/>
      <c r="AW162" s="128"/>
      <c r="AX162" s="128"/>
      <c r="AY162" s="128"/>
      <c r="AZ162" s="128"/>
      <c r="BA162" s="128"/>
      <c r="BB162" s="128"/>
      <c r="BC162" s="128"/>
      <c r="BD162" s="128"/>
      <c r="BE162" s="117"/>
      <c r="BF162" s="117"/>
      <c r="BG162" s="117"/>
      <c r="BH162" s="117"/>
    </row>
    <row r="163" spans="1:61" ht="14.45">
      <c r="C163" s="142"/>
      <c r="D163" s="142"/>
      <c r="E163" s="145"/>
      <c r="F163" s="145"/>
      <c r="I163" s="140"/>
      <c r="J163" s="140"/>
      <c r="K163" s="145"/>
      <c r="L163" s="145"/>
      <c r="M163" s="112"/>
      <c r="P163" s="142"/>
      <c r="Q163" s="142"/>
      <c r="R163" s="145"/>
      <c r="S163" s="145"/>
      <c r="T163" s="1"/>
      <c r="V163" s="140"/>
      <c r="W163" s="140"/>
      <c r="X163" s="145"/>
      <c r="Y163" s="145"/>
      <c r="Z163" s="117"/>
      <c r="AA163" s="117"/>
      <c r="AB163" s="117"/>
      <c r="AC163" s="117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8"/>
      <c r="AT163" s="128"/>
      <c r="AU163" s="128"/>
      <c r="AV163" s="128"/>
      <c r="AW163" s="128"/>
      <c r="AX163" s="128"/>
      <c r="AY163" s="128"/>
      <c r="AZ163" s="128"/>
      <c r="BA163" s="128"/>
      <c r="BB163" s="128"/>
      <c r="BC163" s="128"/>
      <c r="BD163" s="128"/>
      <c r="BE163" s="117"/>
      <c r="BF163" s="117"/>
      <c r="BG163" s="117"/>
      <c r="BH163" s="117"/>
    </row>
    <row r="164" spans="1:61" ht="14.45">
      <c r="C164" s="142"/>
      <c r="D164" s="142"/>
      <c r="E164" s="145"/>
      <c r="F164" s="145"/>
      <c r="I164" s="140"/>
      <c r="J164" s="140"/>
      <c r="K164" s="145"/>
      <c r="L164" s="145"/>
      <c r="M164" s="112"/>
      <c r="P164" s="142"/>
      <c r="Q164" s="142"/>
      <c r="R164" s="145"/>
      <c r="S164" s="145"/>
      <c r="T164" s="1"/>
      <c r="V164" s="140"/>
      <c r="W164" s="140"/>
      <c r="X164" s="145"/>
      <c r="Y164" s="145"/>
      <c r="Z164" s="117"/>
      <c r="AA164" s="117"/>
      <c r="AB164" s="117"/>
      <c r="AC164" s="117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8"/>
      <c r="AT164" s="128"/>
      <c r="AU164" s="128"/>
      <c r="AV164" s="128"/>
      <c r="AW164" s="128"/>
      <c r="AX164" s="128"/>
      <c r="AY164" s="128"/>
      <c r="AZ164" s="128"/>
      <c r="BA164" s="128"/>
      <c r="BB164" s="128"/>
      <c r="BC164" s="128"/>
      <c r="BD164" s="128"/>
      <c r="BE164" s="117"/>
      <c r="BF164" s="117"/>
      <c r="BG164" s="117"/>
      <c r="BH164" s="117"/>
    </row>
    <row r="165" spans="1:61" ht="14.45">
      <c r="C165" s="142"/>
      <c r="D165" s="142"/>
      <c r="E165" s="145"/>
      <c r="F165" s="145"/>
      <c r="I165" s="140"/>
      <c r="J165" s="140"/>
      <c r="K165" s="145"/>
      <c r="L165" s="145"/>
      <c r="M165" s="112"/>
      <c r="P165" s="142"/>
      <c r="Q165" s="142"/>
      <c r="R165" s="145"/>
      <c r="S165" s="145"/>
      <c r="T165" s="1"/>
      <c r="V165" s="140"/>
      <c r="W165" s="140"/>
      <c r="X165" s="145"/>
      <c r="Y165" s="145"/>
      <c r="Z165" s="117"/>
      <c r="AA165" s="117"/>
      <c r="AB165" s="117"/>
      <c r="AC165" s="117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  <c r="BE165" s="117"/>
      <c r="BF165" s="117"/>
      <c r="BG165" s="117"/>
      <c r="BH165" s="117"/>
    </row>
    <row r="166" spans="1:61" ht="14.45">
      <c r="C166" s="142"/>
      <c r="D166" s="142"/>
      <c r="E166" s="145"/>
      <c r="F166" s="145"/>
      <c r="I166" s="140"/>
      <c r="J166" s="140"/>
      <c r="K166" s="145"/>
      <c r="L166" s="145"/>
      <c r="M166" s="112"/>
      <c r="P166" s="142"/>
      <c r="Q166" s="142"/>
      <c r="R166" s="145"/>
      <c r="S166" s="145"/>
      <c r="T166" s="1"/>
      <c r="V166" s="140"/>
      <c r="W166" s="140"/>
      <c r="X166" s="145"/>
      <c r="Y166" s="145"/>
      <c r="Z166" s="117"/>
      <c r="AA166" s="117"/>
      <c r="AB166" s="117"/>
      <c r="AC166" s="117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28"/>
      <c r="BB166" s="128"/>
      <c r="BC166" s="128"/>
      <c r="BD166" s="128"/>
      <c r="BE166" s="117"/>
      <c r="BF166" s="117"/>
      <c r="BG166" s="117"/>
      <c r="BH166" s="117"/>
    </row>
    <row r="167" spans="1:61" ht="14.45">
      <c r="E167" s="145"/>
      <c r="F167" s="145"/>
      <c r="I167" s="151"/>
      <c r="J167" s="151"/>
      <c r="K167" s="145"/>
      <c r="L167" s="145"/>
      <c r="M167" s="112"/>
      <c r="R167" s="145"/>
      <c r="S167" s="145"/>
      <c r="T167" s="1"/>
      <c r="V167" s="151"/>
      <c r="W167" s="151"/>
      <c r="X167" s="145"/>
      <c r="Y167" s="145"/>
      <c r="Z167" s="117"/>
      <c r="AA167" s="117"/>
      <c r="AB167" s="117"/>
      <c r="AC167" s="117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  <c r="AX167" s="128"/>
      <c r="AY167" s="128"/>
      <c r="AZ167" s="128"/>
      <c r="BA167" s="128"/>
      <c r="BB167" s="128"/>
      <c r="BC167" s="128"/>
      <c r="BD167" s="128"/>
      <c r="BE167" s="117"/>
      <c r="BF167" s="117"/>
      <c r="BG167" s="117"/>
      <c r="BH167" s="117"/>
    </row>
    <row r="168" spans="1:61" ht="14.45">
      <c r="C168" s="117"/>
      <c r="D168" s="117"/>
      <c r="E168" s="160"/>
      <c r="F168" s="160"/>
      <c r="G168" s="117"/>
      <c r="H168" s="117"/>
      <c r="I168" s="151"/>
      <c r="J168" s="151"/>
      <c r="K168" s="151"/>
      <c r="L168" s="151"/>
      <c r="M168" s="112"/>
      <c r="P168" s="117"/>
      <c r="Q168" s="117"/>
      <c r="R168" s="145"/>
      <c r="S168" s="145"/>
      <c r="T168" s="117"/>
      <c r="U168" s="117"/>
      <c r="V168" s="151"/>
      <c r="W168" s="151"/>
      <c r="X168" s="151"/>
      <c r="Y168" s="151"/>
      <c r="Z168" s="117"/>
      <c r="AA168" s="117"/>
      <c r="AB168" s="117"/>
      <c r="AC168" s="117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  <c r="BE168" s="117"/>
      <c r="BF168" s="117"/>
      <c r="BG168" s="117"/>
    </row>
    <row r="169" spans="1:61" s="111" customFormat="1" ht="14.45">
      <c r="C169" s="111" t="s">
        <v>45</v>
      </c>
      <c r="D169" s="111">
        <f>SUM(C134:D166)</f>
        <v>328.90999999999997</v>
      </c>
      <c r="E169" s="159">
        <f>D169*F176</f>
        <v>513.1201248049922</v>
      </c>
      <c r="F169" s="159"/>
      <c r="I169" s="159">
        <f>SUM(I134:J166)</f>
        <v>75.679999999999993</v>
      </c>
      <c r="J169" s="159"/>
      <c r="K169" s="159">
        <f>I169*F176</f>
        <v>118.06552262090483</v>
      </c>
      <c r="L169" s="159"/>
      <c r="M169" s="113"/>
      <c r="P169" s="111" t="s">
        <v>45</v>
      </c>
      <c r="Q169" s="111">
        <f>SUM(P134:Q166)</f>
        <v>298.36</v>
      </c>
      <c r="R169" s="159">
        <f>Q169*N176</f>
        <v>507.41496598639463</v>
      </c>
      <c r="S169" s="159"/>
      <c r="V169" s="159">
        <f>SUM(V134:W166)</f>
        <v>28.510000000000005</v>
      </c>
      <c r="W169" s="159"/>
      <c r="X169" s="159">
        <f>V169*N176</f>
        <v>48.486394557823139</v>
      </c>
      <c r="Y169" s="159"/>
      <c r="AA169" s="117"/>
      <c r="AB169" s="117"/>
      <c r="AC169" s="117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  <c r="BB169" s="128"/>
      <c r="BC169" s="128"/>
      <c r="BD169" s="128"/>
      <c r="BE169" s="117"/>
      <c r="BF169" s="117"/>
      <c r="BG169" s="117"/>
    </row>
    <row r="170" spans="1:61" ht="14.4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3">
        <f>8+(4*4)</f>
        <v>24</v>
      </c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  <c r="BB170" s="128"/>
      <c r="BC170" s="128"/>
      <c r="BD170" s="128"/>
      <c r="BE170" s="117"/>
      <c r="BF170" s="117"/>
      <c r="BG170" s="117"/>
      <c r="BH170" s="117"/>
      <c r="BI170" s="117"/>
    </row>
    <row r="171" spans="1:61" ht="14.4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1">
        <f>K169+K170</f>
        <v>142.06552262090483</v>
      </c>
      <c r="L171" s="117"/>
      <c r="M171" s="117"/>
      <c r="N171" s="117"/>
      <c r="O171" s="117"/>
      <c r="P171" s="117"/>
      <c r="Q171" s="117"/>
      <c r="R171" s="117"/>
      <c r="S171" s="117"/>
      <c r="T171" s="162" t="s">
        <v>46</v>
      </c>
      <c r="U171" s="162"/>
      <c r="V171" s="162"/>
      <c r="W171" s="162"/>
      <c r="X171" s="117">
        <f>X169*2</f>
        <v>96.972789115646279</v>
      </c>
      <c r="Y171" s="117"/>
      <c r="Z171" s="117"/>
      <c r="AA171" s="117"/>
      <c r="AB171" s="117"/>
      <c r="AC171" s="117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  <c r="BB171" s="128"/>
      <c r="BC171" s="128"/>
      <c r="BD171" s="128"/>
      <c r="BE171" s="117"/>
      <c r="BF171" s="117"/>
      <c r="BG171" s="117"/>
      <c r="BH171" s="117"/>
      <c r="BI171" s="117"/>
    </row>
    <row r="172" spans="1:61" ht="14.45" customHeight="1">
      <c r="A172" s="117"/>
      <c r="B172" s="117"/>
      <c r="C172" s="117"/>
      <c r="D172" s="117"/>
      <c r="E172" s="117"/>
      <c r="F172" s="117"/>
      <c r="G172" s="162" t="s">
        <v>46</v>
      </c>
      <c r="H172" s="162"/>
      <c r="I172" s="162"/>
      <c r="J172" s="162"/>
      <c r="K172" s="117">
        <f>K171*2</f>
        <v>284.13104524180966</v>
      </c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  <c r="BB172" s="128"/>
      <c r="BC172" s="128"/>
      <c r="BD172" s="128"/>
      <c r="BE172" s="117"/>
      <c r="BF172" s="117"/>
      <c r="BG172" s="117"/>
      <c r="BH172" s="117"/>
      <c r="BI172" s="117"/>
    </row>
    <row r="173" spans="1:61" ht="14.45">
      <c r="A173" s="117"/>
      <c r="B173" s="117"/>
      <c r="C173" s="117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  <c r="BB173" s="128"/>
      <c r="BC173" s="128"/>
      <c r="BD173" s="128"/>
      <c r="BE173" s="117"/>
      <c r="BF173" s="117"/>
      <c r="BG173" s="117"/>
      <c r="BH173" s="117"/>
      <c r="BI173" s="117"/>
    </row>
    <row r="174" spans="1:61" ht="14.45">
      <c r="A174" s="117"/>
      <c r="B174" s="117"/>
      <c r="C174" s="117"/>
      <c r="D174" s="162" t="s">
        <v>47</v>
      </c>
      <c r="E174" s="162"/>
      <c r="F174" s="162"/>
      <c r="G174" s="162"/>
      <c r="H174" s="162"/>
      <c r="I174" s="116"/>
      <c r="J174" s="116"/>
      <c r="K174" s="116"/>
      <c r="L174" s="162" t="s">
        <v>48</v>
      </c>
      <c r="M174" s="162"/>
      <c r="N174" s="162"/>
      <c r="O174" s="162"/>
      <c r="P174" s="162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  <c r="BB174" s="128"/>
      <c r="BC174" s="128"/>
      <c r="BD174" s="128"/>
      <c r="BE174" s="117"/>
      <c r="BF174" s="117"/>
      <c r="BG174" s="117"/>
      <c r="BH174" s="117"/>
      <c r="BI174" s="117"/>
    </row>
    <row r="175" spans="1:61" ht="14.45">
      <c r="A175" s="117"/>
      <c r="B175" s="117"/>
      <c r="C175" s="117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  <c r="BB175" s="128"/>
      <c r="BC175" s="128"/>
      <c r="BD175" s="128"/>
      <c r="BE175" s="117"/>
      <c r="BF175" s="117"/>
      <c r="BG175" s="117"/>
      <c r="BH175" s="117"/>
      <c r="BI175" s="117"/>
    </row>
    <row r="176" spans="1:61" ht="14.45">
      <c r="A176" s="117"/>
      <c r="B176" s="117"/>
      <c r="C176" s="117"/>
      <c r="D176" s="116"/>
      <c r="E176" s="116"/>
      <c r="F176" s="116">
        <f>10/6.41</f>
        <v>1.5600624024960998</v>
      </c>
      <c r="G176" s="116"/>
      <c r="H176" s="116"/>
      <c r="I176" s="116"/>
      <c r="J176" s="116"/>
      <c r="K176" s="116"/>
      <c r="L176" s="116"/>
      <c r="M176" s="116"/>
      <c r="N176" s="116">
        <f>10/5.88</f>
        <v>1.7006802721088436</v>
      </c>
      <c r="O176" s="116"/>
      <c r="P176" s="116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  <c r="AX176" s="128"/>
      <c r="AY176" s="128"/>
      <c r="AZ176" s="128"/>
      <c r="BA176" s="128"/>
      <c r="BB176" s="128"/>
      <c r="BC176" s="128"/>
      <c r="BD176" s="128"/>
      <c r="BE176" s="117"/>
      <c r="BF176" s="117"/>
      <c r="BG176" s="117"/>
      <c r="BH176" s="117"/>
      <c r="BI176" s="117"/>
    </row>
    <row r="177" spans="1:61" ht="14.45">
      <c r="A177" s="117"/>
      <c r="B177" s="117"/>
      <c r="C177" s="117"/>
      <c r="D177" s="116"/>
      <c r="E177" s="116"/>
      <c r="F177" s="116"/>
      <c r="G177" s="116"/>
      <c r="H177" s="3"/>
      <c r="I177" s="3"/>
      <c r="J177" s="3"/>
      <c r="K177" s="3"/>
      <c r="L177" s="3"/>
      <c r="M177" s="116"/>
      <c r="N177" s="116"/>
      <c r="O177" s="116"/>
      <c r="P177" s="116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  <c r="AX177" s="128"/>
      <c r="AY177" s="128"/>
      <c r="AZ177" s="128"/>
      <c r="BA177" s="128"/>
      <c r="BB177" s="128"/>
      <c r="BC177" s="128"/>
      <c r="BD177" s="128"/>
      <c r="BE177" s="117"/>
      <c r="BF177" s="117"/>
      <c r="BG177" s="117"/>
      <c r="BH177" s="117"/>
      <c r="BI177" s="117"/>
    </row>
    <row r="178" spans="1:61" ht="14.45" customHeight="1">
      <c r="A178" s="117"/>
      <c r="B178" s="117"/>
      <c r="C178" s="117"/>
      <c r="D178" s="117"/>
      <c r="E178" s="117"/>
      <c r="F178" s="117"/>
      <c r="G178" s="117"/>
      <c r="H178" s="3"/>
      <c r="I178" s="3" t="s">
        <v>49</v>
      </c>
      <c r="J178" s="166" t="s">
        <v>50</v>
      </c>
      <c r="K178" s="166"/>
      <c r="L178" s="166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  <c r="AX178" s="128"/>
      <c r="AY178" s="128"/>
      <c r="AZ178" s="128"/>
      <c r="BA178" s="128"/>
      <c r="BB178" s="128"/>
      <c r="BC178" s="128"/>
      <c r="BD178" s="128"/>
      <c r="BE178" s="117"/>
      <c r="BF178" s="117"/>
      <c r="BG178" s="117"/>
      <c r="BH178" s="117"/>
      <c r="BI178" s="117"/>
    </row>
    <row r="179" spans="1:61" ht="14.45">
      <c r="A179" s="117"/>
      <c r="B179" s="117"/>
      <c r="C179" s="117"/>
      <c r="D179" s="117"/>
      <c r="E179" s="117"/>
      <c r="F179" s="117"/>
      <c r="G179" s="117"/>
      <c r="H179" s="3"/>
      <c r="I179" s="3"/>
      <c r="J179" s="166"/>
      <c r="K179" s="166"/>
      <c r="L179" s="166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/>
      <c r="AV179" s="128"/>
      <c r="AW179" s="128"/>
      <c r="AX179" s="128"/>
      <c r="AY179" s="128"/>
      <c r="AZ179" s="128"/>
      <c r="BA179" s="128"/>
      <c r="BB179" s="128"/>
      <c r="BC179" s="128"/>
      <c r="BD179" s="128"/>
      <c r="BE179" s="117"/>
      <c r="BF179" s="117"/>
      <c r="BG179" s="117"/>
      <c r="BH179" s="117"/>
      <c r="BI179" s="117"/>
    </row>
    <row r="180" spans="1:61" ht="14.45">
      <c r="A180" s="117"/>
      <c r="B180" s="117"/>
      <c r="C180" s="117"/>
      <c r="D180" s="117"/>
      <c r="E180" s="117"/>
      <c r="F180" s="117"/>
      <c r="G180" s="117"/>
      <c r="H180" s="3"/>
      <c r="I180" s="3"/>
      <c r="J180" s="166"/>
      <c r="K180" s="166"/>
      <c r="L180" s="166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128"/>
      <c r="AR180" s="128"/>
      <c r="AS180" s="128"/>
      <c r="AT180" s="128"/>
      <c r="AU180" s="128"/>
      <c r="AV180" s="128"/>
      <c r="AW180" s="128"/>
      <c r="AX180" s="128"/>
      <c r="AY180" s="128"/>
      <c r="AZ180" s="128"/>
      <c r="BA180" s="128"/>
      <c r="BB180" s="128"/>
      <c r="BC180" s="128"/>
      <c r="BD180" s="128"/>
      <c r="BE180" s="117"/>
      <c r="BF180" s="117"/>
      <c r="BG180" s="117"/>
      <c r="BH180" s="117"/>
      <c r="BI180" s="117"/>
    </row>
    <row r="181" spans="1:61" ht="14.45">
      <c r="A181" s="117"/>
      <c r="B181" s="117"/>
      <c r="C181" s="117"/>
      <c r="D181" s="117"/>
      <c r="E181" s="117"/>
      <c r="F181" s="117"/>
      <c r="G181" s="117"/>
      <c r="H181" s="3"/>
      <c r="I181" s="3"/>
      <c r="J181" s="166"/>
      <c r="K181" s="166"/>
      <c r="L181" s="166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128"/>
      <c r="AS181" s="128"/>
      <c r="AT181" s="128"/>
      <c r="AU181" s="128"/>
      <c r="AV181" s="128"/>
      <c r="AW181" s="128"/>
      <c r="AX181" s="128"/>
      <c r="AY181" s="128"/>
      <c r="AZ181" s="128"/>
      <c r="BA181" s="128"/>
      <c r="BB181" s="128"/>
      <c r="BC181" s="128"/>
      <c r="BD181" s="128"/>
      <c r="BE181" s="117"/>
      <c r="BF181" s="117"/>
      <c r="BG181" s="117"/>
      <c r="BH181" s="117"/>
      <c r="BI181" s="117"/>
    </row>
    <row r="182" spans="1:61" ht="14.45">
      <c r="A182" s="117"/>
      <c r="B182" s="117"/>
      <c r="C182" s="117"/>
      <c r="D182" s="117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</row>
    <row r="183" spans="1:61" ht="14.45">
      <c r="A183" s="117"/>
      <c r="B183" s="117"/>
      <c r="C183" s="117"/>
      <c r="D183" s="117"/>
      <c r="E183" s="116"/>
      <c r="F183" s="116"/>
      <c r="G183" s="162" t="s">
        <v>51</v>
      </c>
      <c r="H183" s="162"/>
      <c r="I183" s="162"/>
      <c r="J183" s="162"/>
      <c r="K183" s="138">
        <f>0.5*101</f>
        <v>50.5</v>
      </c>
      <c r="L183" s="138"/>
      <c r="M183" s="138"/>
      <c r="N183" s="162" t="s">
        <v>52</v>
      </c>
      <c r="O183" s="162"/>
      <c r="P183" s="116"/>
      <c r="Q183" s="116"/>
      <c r="R183" s="116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</row>
    <row r="184" spans="1:61" ht="14.45">
      <c r="A184" s="117"/>
      <c r="B184" s="117"/>
      <c r="C184" s="117"/>
      <c r="D184" s="117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</row>
    <row r="185" spans="1:61" ht="14.4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45"/>
      <c r="L185" s="145"/>
      <c r="M185" s="145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</row>
  </sheetData>
  <mergeCells count="309">
    <mergeCell ref="G183:J183"/>
    <mergeCell ref="N183:O183"/>
    <mergeCell ref="E154:G158"/>
    <mergeCell ref="Z145:AC149"/>
    <mergeCell ref="J178:L181"/>
    <mergeCell ref="D174:H174"/>
    <mergeCell ref="L174:P174"/>
    <mergeCell ref="R169:S169"/>
    <mergeCell ref="V169:W169"/>
    <mergeCell ref="X169:Y169"/>
    <mergeCell ref="R167:S167"/>
    <mergeCell ref="V167:W167"/>
    <mergeCell ref="X167:Y167"/>
    <mergeCell ref="R168:S168"/>
    <mergeCell ref="V168:W168"/>
    <mergeCell ref="X168:Y168"/>
    <mergeCell ref="G172:J172"/>
    <mergeCell ref="T171:W171"/>
    <mergeCell ref="P165:Q165"/>
    <mergeCell ref="R165:S165"/>
    <mergeCell ref="V165:W165"/>
    <mergeCell ref="X165:Y165"/>
    <mergeCell ref="P166:Q166"/>
    <mergeCell ref="R166:S166"/>
    <mergeCell ref="V166:W166"/>
    <mergeCell ref="X166:Y166"/>
    <mergeCell ref="P163:Q163"/>
    <mergeCell ref="R163:S163"/>
    <mergeCell ref="V163:W163"/>
    <mergeCell ref="X163:Y163"/>
    <mergeCell ref="P164:Q164"/>
    <mergeCell ref="R164:S164"/>
    <mergeCell ref="V164:W164"/>
    <mergeCell ref="X164:Y164"/>
    <mergeCell ref="P161:Q161"/>
    <mergeCell ref="R161:S161"/>
    <mergeCell ref="V161:W161"/>
    <mergeCell ref="X161:Y161"/>
    <mergeCell ref="P162:Q162"/>
    <mergeCell ref="R162:S162"/>
    <mergeCell ref="V162:W162"/>
    <mergeCell ref="X162:Y162"/>
    <mergeCell ref="P159:Q159"/>
    <mergeCell ref="R159:S159"/>
    <mergeCell ref="V159:W159"/>
    <mergeCell ref="X159:Y159"/>
    <mergeCell ref="P160:Q160"/>
    <mergeCell ref="R160:S160"/>
    <mergeCell ref="V160:W160"/>
    <mergeCell ref="X160:Y160"/>
    <mergeCell ref="P157:Q157"/>
    <mergeCell ref="R157:S157"/>
    <mergeCell ref="V157:W157"/>
    <mergeCell ref="X157:Y157"/>
    <mergeCell ref="P158:Q158"/>
    <mergeCell ref="R158:S158"/>
    <mergeCell ref="V158:W158"/>
    <mergeCell ref="X158:Y158"/>
    <mergeCell ref="P155:Q155"/>
    <mergeCell ref="R155:S155"/>
    <mergeCell ref="V155:W155"/>
    <mergeCell ref="X155:Y155"/>
    <mergeCell ref="P156:Q156"/>
    <mergeCell ref="R156:S156"/>
    <mergeCell ref="V156:W156"/>
    <mergeCell ref="X156:Y156"/>
    <mergeCell ref="X153:Y153"/>
    <mergeCell ref="P154:Q154"/>
    <mergeCell ref="R154:S154"/>
    <mergeCell ref="V154:W154"/>
    <mergeCell ref="X154:Y154"/>
    <mergeCell ref="P151:Q151"/>
    <mergeCell ref="R151:S151"/>
    <mergeCell ref="V151:W151"/>
    <mergeCell ref="X151:Y151"/>
    <mergeCell ref="P152:Q152"/>
    <mergeCell ref="R152:S152"/>
    <mergeCell ref="V152:W152"/>
    <mergeCell ref="X152:Y152"/>
    <mergeCell ref="X149:Y149"/>
    <mergeCell ref="P150:Q150"/>
    <mergeCell ref="R150:S150"/>
    <mergeCell ref="V150:W150"/>
    <mergeCell ref="X150:Y150"/>
    <mergeCell ref="P147:Q147"/>
    <mergeCell ref="R147:S147"/>
    <mergeCell ref="V147:W147"/>
    <mergeCell ref="X147:Y147"/>
    <mergeCell ref="P148:Q148"/>
    <mergeCell ref="R148:S148"/>
    <mergeCell ref="V148:W148"/>
    <mergeCell ref="X148:Y148"/>
    <mergeCell ref="X145:Y145"/>
    <mergeCell ref="P146:Q146"/>
    <mergeCell ref="R146:S146"/>
    <mergeCell ref="V146:W146"/>
    <mergeCell ref="X146:Y146"/>
    <mergeCell ref="P143:Q143"/>
    <mergeCell ref="R143:S143"/>
    <mergeCell ref="V143:W143"/>
    <mergeCell ref="X143:Y143"/>
    <mergeCell ref="P144:Q144"/>
    <mergeCell ref="R144:S144"/>
    <mergeCell ref="V144:W144"/>
    <mergeCell ref="X144:Y144"/>
    <mergeCell ref="X141:Y141"/>
    <mergeCell ref="P142:Q142"/>
    <mergeCell ref="R142:S142"/>
    <mergeCell ref="V142:W142"/>
    <mergeCell ref="X142:Y142"/>
    <mergeCell ref="P139:Q139"/>
    <mergeCell ref="R139:S139"/>
    <mergeCell ref="V139:W139"/>
    <mergeCell ref="X139:Y139"/>
    <mergeCell ref="P140:Q140"/>
    <mergeCell ref="R140:S140"/>
    <mergeCell ref="V140:W140"/>
    <mergeCell ref="X140:Y140"/>
    <mergeCell ref="V133:W133"/>
    <mergeCell ref="X133:Y133"/>
    <mergeCell ref="P134:Q134"/>
    <mergeCell ref="R134:S134"/>
    <mergeCell ref="V134:W134"/>
    <mergeCell ref="X134:Y134"/>
    <mergeCell ref="E150:F150"/>
    <mergeCell ref="E151:F151"/>
    <mergeCell ref="E152:F152"/>
    <mergeCell ref="I150:J150"/>
    <mergeCell ref="I151:J151"/>
    <mergeCell ref="I152:J152"/>
    <mergeCell ref="X137:Y137"/>
    <mergeCell ref="P138:Q138"/>
    <mergeCell ref="R138:S138"/>
    <mergeCell ref="V138:W138"/>
    <mergeCell ref="X138:Y138"/>
    <mergeCell ref="V135:W135"/>
    <mergeCell ref="X135:Y135"/>
    <mergeCell ref="P136:Q136"/>
    <mergeCell ref="R136:S136"/>
    <mergeCell ref="V136:W136"/>
    <mergeCell ref="X136:Y136"/>
    <mergeCell ref="P141:Q141"/>
    <mergeCell ref="I139:J139"/>
    <mergeCell ref="I140:J140"/>
    <mergeCell ref="I141:J141"/>
    <mergeCell ref="I142:J142"/>
    <mergeCell ref="I143:J143"/>
    <mergeCell ref="V137:W137"/>
    <mergeCell ref="I169:J169"/>
    <mergeCell ref="I167:J167"/>
    <mergeCell ref="I168:J168"/>
    <mergeCell ref="K169:L169"/>
    <mergeCell ref="K167:L167"/>
    <mergeCell ref="K168:L168"/>
    <mergeCell ref="K141:L141"/>
    <mergeCell ref="R141:S141"/>
    <mergeCell ref="V141:W141"/>
    <mergeCell ref="P145:Q145"/>
    <mergeCell ref="R145:S145"/>
    <mergeCell ref="V145:W145"/>
    <mergeCell ref="P149:Q149"/>
    <mergeCell ref="R149:S149"/>
    <mergeCell ref="V149:W149"/>
    <mergeCell ref="P153:Q153"/>
    <mergeCell ref="R153:S153"/>
    <mergeCell ref="V153:W153"/>
    <mergeCell ref="E163:F163"/>
    <mergeCell ref="E164:F164"/>
    <mergeCell ref="E165:F165"/>
    <mergeCell ref="E166:F166"/>
    <mergeCell ref="E169:F169"/>
    <mergeCell ref="E167:F167"/>
    <mergeCell ref="E168:F168"/>
    <mergeCell ref="I165:J165"/>
    <mergeCell ref="I166:J166"/>
    <mergeCell ref="E160:F160"/>
    <mergeCell ref="E161:F161"/>
    <mergeCell ref="E162:F162"/>
    <mergeCell ref="K158:L158"/>
    <mergeCell ref="K159:L159"/>
    <mergeCell ref="K160:L160"/>
    <mergeCell ref="K161:L161"/>
    <mergeCell ref="E149:F149"/>
    <mergeCell ref="K162:L162"/>
    <mergeCell ref="E159:F159"/>
    <mergeCell ref="E153:F153"/>
    <mergeCell ref="I153:J153"/>
    <mergeCell ref="C165:D165"/>
    <mergeCell ref="C166:D166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8:F148"/>
    <mergeCell ref="C160:D160"/>
    <mergeCell ref="C161:D161"/>
    <mergeCell ref="C162:D162"/>
    <mergeCell ref="C163:D163"/>
    <mergeCell ref="C164:D164"/>
    <mergeCell ref="C149:D149"/>
    <mergeCell ref="C142:D142"/>
    <mergeCell ref="C143:D143"/>
    <mergeCell ref="C158:D158"/>
    <mergeCell ref="C159:D15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38:D138"/>
    <mergeCell ref="C139:D139"/>
    <mergeCell ref="C140:D140"/>
    <mergeCell ref="C141:D141"/>
    <mergeCell ref="C145:D145"/>
    <mergeCell ref="C146:D146"/>
    <mergeCell ref="C147:D147"/>
    <mergeCell ref="C148:D148"/>
    <mergeCell ref="E147:F147"/>
    <mergeCell ref="C144:D144"/>
    <mergeCell ref="W132:X132"/>
    <mergeCell ref="K183:M183"/>
    <mergeCell ref="I164:J164"/>
    <mergeCell ref="K143:L143"/>
    <mergeCell ref="K144:L144"/>
    <mergeCell ref="K145:L145"/>
    <mergeCell ref="K146:L146"/>
    <mergeCell ref="I159:J159"/>
    <mergeCell ref="I160:J160"/>
    <mergeCell ref="I161:J161"/>
    <mergeCell ref="I162:J162"/>
    <mergeCell ref="I163:J163"/>
    <mergeCell ref="I154:J154"/>
    <mergeCell ref="I155:J155"/>
    <mergeCell ref="I156:J156"/>
    <mergeCell ref="I157:J157"/>
    <mergeCell ref="I158:J158"/>
    <mergeCell ref="I149:J149"/>
    <mergeCell ref="I144:J144"/>
    <mergeCell ref="I145:J145"/>
    <mergeCell ref="I146:J146"/>
    <mergeCell ref="I147:J147"/>
    <mergeCell ref="I148:J148"/>
    <mergeCell ref="I138:J138"/>
    <mergeCell ref="K185:M185"/>
    <mergeCell ref="U132:V132"/>
    <mergeCell ref="K147:L147"/>
    <mergeCell ref="K148:L148"/>
    <mergeCell ref="K149:L149"/>
    <mergeCell ref="K150:L150"/>
    <mergeCell ref="K151:L151"/>
    <mergeCell ref="K152:L152"/>
    <mergeCell ref="K153:L153"/>
    <mergeCell ref="K154:L154"/>
    <mergeCell ref="K155:L155"/>
    <mergeCell ref="K156:L156"/>
    <mergeCell ref="K157:L157"/>
    <mergeCell ref="K142:L142"/>
    <mergeCell ref="K163:L163"/>
    <mergeCell ref="K164:L164"/>
    <mergeCell ref="K165:L165"/>
    <mergeCell ref="K166:L166"/>
    <mergeCell ref="K135:L135"/>
    <mergeCell ref="K136:L136"/>
    <mergeCell ref="K137:L137"/>
    <mergeCell ref="K138:L138"/>
    <mergeCell ref="K139:L139"/>
    <mergeCell ref="K140:L140"/>
    <mergeCell ref="AA4:AB4"/>
    <mergeCell ref="AA3:AC3"/>
    <mergeCell ref="C89:F91"/>
    <mergeCell ref="A1:F2"/>
    <mergeCell ref="L5:Q5"/>
    <mergeCell ref="B8:D8"/>
    <mergeCell ref="A14:B14"/>
    <mergeCell ref="B32:D32"/>
    <mergeCell ref="F13:G14"/>
    <mergeCell ref="D130:E130"/>
    <mergeCell ref="Q129:R129"/>
    <mergeCell ref="E133:F133"/>
    <mergeCell ref="K133:L133"/>
    <mergeCell ref="I133:J133"/>
    <mergeCell ref="I134:J134"/>
    <mergeCell ref="I135:J135"/>
    <mergeCell ref="I136:J136"/>
    <mergeCell ref="I137:J137"/>
    <mergeCell ref="C133:D133"/>
    <mergeCell ref="C134:D134"/>
    <mergeCell ref="C135:D135"/>
    <mergeCell ref="C136:D136"/>
    <mergeCell ref="C137:D137"/>
    <mergeCell ref="P133:Q133"/>
    <mergeCell ref="R133:S133"/>
    <mergeCell ref="P137:Q137"/>
    <mergeCell ref="R137:S137"/>
    <mergeCell ref="K134:L134"/>
    <mergeCell ref="P135:Q135"/>
    <mergeCell ref="R135:S1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35C6-4AA6-421E-8641-CDDAFFCC2A16}">
  <dimension ref="A1:G36"/>
  <sheetViews>
    <sheetView zoomScale="85" zoomScaleNormal="85" workbookViewId="0">
      <selection activeCell="E19" sqref="E19"/>
    </sheetView>
  </sheetViews>
  <sheetFormatPr defaultRowHeight="14.45"/>
  <cols>
    <col min="4" max="4" width="14" customWidth="1"/>
    <col min="5" max="5" width="21" customWidth="1"/>
  </cols>
  <sheetData>
    <row r="1" spans="1:7">
      <c r="A1" s="167" t="s">
        <v>53</v>
      </c>
      <c r="B1" s="167"/>
      <c r="C1" s="167"/>
      <c r="D1" s="167"/>
      <c r="E1" s="167"/>
      <c r="F1" s="167"/>
      <c r="G1" s="117"/>
    </row>
    <row r="2" spans="1:7">
      <c r="A2" s="167"/>
      <c r="B2" s="167"/>
      <c r="C2" s="167"/>
      <c r="D2" s="167"/>
      <c r="E2" s="167"/>
      <c r="F2" s="167"/>
      <c r="G2" s="117"/>
    </row>
    <row r="6" spans="1:7">
      <c r="A6" s="117"/>
      <c r="B6" s="117"/>
      <c r="C6" s="36" t="s">
        <v>54</v>
      </c>
      <c r="D6" s="37"/>
      <c r="E6" s="117"/>
      <c r="F6" s="117"/>
      <c r="G6" s="117"/>
    </row>
    <row r="7" spans="1:7">
      <c r="A7" s="117"/>
      <c r="B7" s="117"/>
      <c r="C7" s="38" t="s">
        <v>55</v>
      </c>
      <c r="D7" s="34" t="s">
        <v>56</v>
      </c>
      <c r="E7" s="117"/>
      <c r="F7" s="117"/>
      <c r="G7" s="117"/>
    </row>
    <row r="8" spans="1:7">
      <c r="A8" s="117"/>
      <c r="B8" s="117"/>
      <c r="C8" s="39" t="s">
        <v>57</v>
      </c>
      <c r="D8" s="35" t="s">
        <v>58</v>
      </c>
      <c r="E8" s="117"/>
      <c r="F8" s="117"/>
      <c r="G8" s="117"/>
    </row>
    <row r="9" spans="1:7">
      <c r="A9" s="117"/>
      <c r="B9" s="117"/>
      <c r="C9" s="117"/>
      <c r="D9" s="117"/>
      <c r="E9" s="117"/>
      <c r="F9" s="117"/>
      <c r="G9" s="40"/>
    </row>
    <row r="10" spans="1:7">
      <c r="A10" s="117"/>
      <c r="B10" s="117"/>
      <c r="C10" s="116" t="s">
        <v>59</v>
      </c>
      <c r="D10" s="116" t="s">
        <v>60</v>
      </c>
      <c r="E10" s="116" t="s">
        <v>61</v>
      </c>
      <c r="F10" s="117"/>
      <c r="G10" s="117"/>
    </row>
    <row r="11" spans="1:7">
      <c r="A11" s="117"/>
      <c r="B11" s="117"/>
      <c r="C11" s="116">
        <v>20.100000000000001</v>
      </c>
      <c r="D11" s="117" t="s">
        <v>62</v>
      </c>
      <c r="E11" s="101">
        <v>0</v>
      </c>
      <c r="F11" s="117"/>
      <c r="G11" s="117"/>
    </row>
    <row r="12" spans="1:7">
      <c r="A12" s="117"/>
      <c r="B12" s="117"/>
      <c r="C12" s="116">
        <v>20.2</v>
      </c>
      <c r="D12" s="117" t="s">
        <v>63</v>
      </c>
      <c r="E12" s="117" t="s">
        <v>64</v>
      </c>
      <c r="F12" s="117"/>
      <c r="G12" s="117"/>
    </row>
    <row r="13" spans="1:7">
      <c r="A13" s="117"/>
      <c r="B13" s="117"/>
      <c r="C13" s="116">
        <v>20.3</v>
      </c>
      <c r="D13" s="117" t="s">
        <v>65</v>
      </c>
      <c r="E13" s="117" t="s">
        <v>66</v>
      </c>
      <c r="F13" s="117"/>
      <c r="G13" s="117"/>
    </row>
    <row r="14" spans="1:7">
      <c r="A14" s="117"/>
      <c r="B14" s="117"/>
      <c r="C14" s="116">
        <v>20.399999999999999</v>
      </c>
      <c r="D14" s="117" t="s">
        <v>67</v>
      </c>
      <c r="E14" s="117" t="s">
        <v>68</v>
      </c>
      <c r="F14" s="117"/>
      <c r="G14" s="117"/>
    </row>
    <row r="15" spans="1:7">
      <c r="A15" s="117"/>
      <c r="B15" s="117"/>
      <c r="C15" s="117" t="s">
        <v>69</v>
      </c>
      <c r="D15" s="117" t="s">
        <v>70</v>
      </c>
      <c r="E15" s="117" t="s">
        <v>71</v>
      </c>
      <c r="F15" s="117"/>
      <c r="G15" s="117"/>
    </row>
    <row r="21" spans="3:6">
      <c r="C21" s="117"/>
      <c r="D21" s="117"/>
      <c r="E21" s="117"/>
      <c r="F21" s="40"/>
    </row>
    <row r="22" spans="3:6" ht="15">
      <c r="C22" s="117"/>
      <c r="D22" s="40"/>
      <c r="E22" s="117"/>
      <c r="F22" s="117"/>
    </row>
    <row r="25" spans="3:6">
      <c r="C25" s="116" t="s">
        <v>59</v>
      </c>
      <c r="D25" s="116" t="s">
        <v>60</v>
      </c>
      <c r="E25" s="116" t="s">
        <v>61</v>
      </c>
      <c r="F25" s="117"/>
    </row>
    <row r="26" spans="3:6">
      <c r="C26" s="116">
        <v>21.1</v>
      </c>
      <c r="D26" s="117" t="s">
        <v>62</v>
      </c>
      <c r="E26" s="101">
        <v>6</v>
      </c>
      <c r="F26" s="117"/>
    </row>
    <row r="27" spans="3:6">
      <c r="C27" s="116">
        <v>21.2</v>
      </c>
      <c r="D27" s="117" t="s">
        <v>72</v>
      </c>
      <c r="E27" s="117" t="s">
        <v>73</v>
      </c>
      <c r="F27" s="117"/>
    </row>
    <row r="28" spans="3:6">
      <c r="C28" s="116">
        <v>21.3</v>
      </c>
      <c r="D28" s="117" t="s">
        <v>74</v>
      </c>
      <c r="E28" s="117" t="s">
        <v>75</v>
      </c>
      <c r="F28" s="117"/>
    </row>
    <row r="29" spans="3:6">
      <c r="C29" s="116">
        <v>21.4</v>
      </c>
      <c r="D29" s="117" t="s">
        <v>74</v>
      </c>
      <c r="E29" s="117" t="s">
        <v>75</v>
      </c>
      <c r="F29" s="117"/>
    </row>
    <row r="30" spans="3:6">
      <c r="C30" s="116">
        <v>21.5</v>
      </c>
      <c r="D30" s="117" t="s">
        <v>74</v>
      </c>
      <c r="E30" s="117" t="s">
        <v>75</v>
      </c>
      <c r="F30" s="117"/>
    </row>
    <row r="31" spans="3:6">
      <c r="C31" s="116">
        <v>21.6</v>
      </c>
      <c r="D31" s="117" t="s">
        <v>76</v>
      </c>
      <c r="E31" s="117" t="s">
        <v>77</v>
      </c>
      <c r="F31" s="117"/>
    </row>
    <row r="32" spans="3:6">
      <c r="C32" s="116">
        <v>21.7</v>
      </c>
      <c r="D32" s="33" t="s">
        <v>76</v>
      </c>
      <c r="E32" s="117" t="s">
        <v>77</v>
      </c>
      <c r="F32" s="117"/>
    </row>
    <row r="33" spans="3:5">
      <c r="C33" s="116">
        <v>21.8</v>
      </c>
      <c r="D33" s="33" t="s">
        <v>76</v>
      </c>
      <c r="E33" s="117" t="s">
        <v>77</v>
      </c>
    </row>
    <row r="34" spans="3:5">
      <c r="C34" s="116">
        <v>21.9</v>
      </c>
      <c r="D34" s="117" t="s">
        <v>78</v>
      </c>
      <c r="E34" s="117" t="s">
        <v>79</v>
      </c>
    </row>
    <row r="35" spans="3:5">
      <c r="C35" s="116" t="s">
        <v>80</v>
      </c>
      <c r="D35" s="117" t="s">
        <v>81</v>
      </c>
      <c r="E35" s="117" t="s">
        <v>82</v>
      </c>
    </row>
    <row r="36" spans="3:5">
      <c r="C36" s="116">
        <v>21.11</v>
      </c>
      <c r="D36" s="117" t="s">
        <v>81</v>
      </c>
      <c r="E36" s="117" t="s">
        <v>82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758E-CFC4-461A-B56C-6AD6BF100E41}">
  <dimension ref="A1:AA57"/>
  <sheetViews>
    <sheetView topLeftCell="B1" zoomScale="70" zoomScaleNormal="70" workbookViewId="0">
      <selection activeCell="M42" sqref="M42"/>
    </sheetView>
  </sheetViews>
  <sheetFormatPr defaultRowHeight="14.45"/>
  <cols>
    <col min="13" max="13" width="24.28515625" customWidth="1"/>
    <col min="15" max="15" width="12.28515625" customWidth="1"/>
    <col min="16" max="16" width="11.28515625" customWidth="1"/>
    <col min="17" max="17" width="9.7109375" bestFit="1" customWidth="1"/>
    <col min="18" max="18" width="12.42578125" customWidth="1"/>
    <col min="20" max="20" width="12.85546875" customWidth="1"/>
    <col min="23" max="23" width="10.7109375" customWidth="1"/>
    <col min="24" max="24" width="13.85546875" bestFit="1" customWidth="1"/>
  </cols>
  <sheetData>
    <row r="1" spans="1:27">
      <c r="A1" s="160" t="s">
        <v>83</v>
      </c>
      <c r="B1" s="160"/>
      <c r="C1" s="160"/>
      <c r="D1" s="160"/>
      <c r="E1" s="160"/>
      <c r="F1" s="160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spans="1:27">
      <c r="A2" s="160"/>
      <c r="B2" s="160"/>
      <c r="C2" s="160"/>
      <c r="D2" s="160"/>
      <c r="E2" s="160"/>
      <c r="F2" s="160"/>
      <c r="G2" s="117"/>
      <c r="H2" s="117"/>
      <c r="I2" s="117"/>
      <c r="J2" s="117"/>
      <c r="K2" s="117"/>
      <c r="L2" s="117"/>
      <c r="M2" s="98" t="s">
        <v>84</v>
      </c>
      <c r="N2" s="99"/>
      <c r="O2" s="99"/>
      <c r="P2" s="99"/>
      <c r="Q2" s="99"/>
      <c r="R2" s="100"/>
      <c r="S2" s="117"/>
      <c r="T2" s="117"/>
      <c r="U2" s="117"/>
      <c r="V2" s="117"/>
      <c r="W2" s="81" t="s">
        <v>85</v>
      </c>
      <c r="X2" s="117"/>
      <c r="Y2" s="117"/>
      <c r="Z2" s="117"/>
      <c r="AA2" s="117"/>
    </row>
    <row r="3" spans="1:27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81">
        <v>1</v>
      </c>
      <c r="X3" s="81" t="s">
        <v>13</v>
      </c>
      <c r="Y3" s="117"/>
      <c r="Z3" s="117"/>
      <c r="AA3" s="117"/>
    </row>
    <row r="4" spans="1:27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95" t="s">
        <v>86</v>
      </c>
      <c r="N4" s="117"/>
      <c r="O4" s="117"/>
      <c r="P4" s="117"/>
      <c r="Q4" s="117"/>
      <c r="R4" s="117"/>
      <c r="S4" s="117"/>
      <c r="T4" s="117"/>
      <c r="U4" s="117"/>
      <c r="V4" s="117"/>
      <c r="W4" s="81" t="s">
        <v>87</v>
      </c>
      <c r="X4" s="82">
        <v>4.7619047620000003</v>
      </c>
      <c r="Y4" s="81" t="s">
        <v>88</v>
      </c>
      <c r="Z4" s="117"/>
      <c r="AA4" s="117"/>
    </row>
    <row r="5" spans="1:27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94" t="s">
        <v>89</v>
      </c>
      <c r="N5" s="42" t="s">
        <v>90</v>
      </c>
      <c r="O5" s="42"/>
      <c r="P5" s="42" t="s">
        <v>91</v>
      </c>
      <c r="Q5" s="42" t="s">
        <v>92</v>
      </c>
      <c r="R5" s="80" t="s">
        <v>93</v>
      </c>
      <c r="S5" s="92" t="s">
        <v>94</v>
      </c>
      <c r="T5" s="90"/>
      <c r="U5" s="117"/>
      <c r="V5" s="117"/>
      <c r="W5" s="117"/>
      <c r="X5" s="41"/>
      <c r="Y5" s="117"/>
      <c r="Z5" s="117"/>
      <c r="AA5" s="117"/>
    </row>
    <row r="6" spans="1:27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43">
        <v>30.1</v>
      </c>
      <c r="N6" s="178">
        <f>1.6*X4</f>
        <v>7.6190476192000007</v>
      </c>
      <c r="O6" s="180"/>
      <c r="P6" s="84">
        <f>1.3*X4</f>
        <v>6.190476190600001</v>
      </c>
      <c r="Q6" s="86">
        <f t="shared" ref="Q6:Q12" si="0">N6*P6</f>
        <v>47.165532881705225</v>
      </c>
      <c r="R6" s="91">
        <f>ROUNDUP(Q6,-1)*0.2</f>
        <v>10</v>
      </c>
      <c r="S6" s="68">
        <f>Q6/9</f>
        <v>5.2406147646339143</v>
      </c>
      <c r="T6" s="117"/>
      <c r="U6" s="117"/>
      <c r="V6" s="117"/>
      <c r="W6" s="42" t="s">
        <v>95</v>
      </c>
      <c r="X6" s="42"/>
      <c r="Y6" s="67"/>
      <c r="Z6" s="42"/>
      <c r="AA6" s="117"/>
    </row>
    <row r="7" spans="1:27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43">
        <v>30.2</v>
      </c>
      <c r="N7" s="178">
        <f>1.6*X4</f>
        <v>7.6190476192000007</v>
      </c>
      <c r="O7" s="180"/>
      <c r="P7" s="84">
        <f>1.35*X4</f>
        <v>6.4285714287000006</v>
      </c>
      <c r="Q7" s="86">
        <f t="shared" si="0"/>
        <v>48.979591838693885</v>
      </c>
      <c r="R7" s="91">
        <f>ROUNDUP(Q7,-1)*0.2</f>
        <v>10</v>
      </c>
      <c r="S7" s="68">
        <f t="shared" ref="S7:S12" si="1">Q7/9</f>
        <v>5.4421768709659872</v>
      </c>
      <c r="T7" s="117"/>
      <c r="U7" s="117"/>
      <c r="V7" s="117"/>
      <c r="W7" s="190" t="s">
        <v>96</v>
      </c>
      <c r="X7" s="190"/>
      <c r="Y7" s="180">
        <f>1.6*X4</f>
        <v>7.6190476192000007</v>
      </c>
      <c r="Z7" s="180"/>
      <c r="AA7" s="71" t="s">
        <v>6</v>
      </c>
    </row>
    <row r="8" spans="1:27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43">
        <v>30.3</v>
      </c>
      <c r="N8" s="178">
        <f>1.6*X4</f>
        <v>7.6190476192000007</v>
      </c>
      <c r="O8" s="180"/>
      <c r="P8" s="84">
        <f>1.4*X4</f>
        <v>6.6666666668000003</v>
      </c>
      <c r="Q8" s="86">
        <f t="shared" si="0"/>
        <v>50.793650795682545</v>
      </c>
      <c r="R8" s="91">
        <f t="shared" ref="R8:R10" si="2">ROUNDUP(Q8,-1)*0.2</f>
        <v>12</v>
      </c>
      <c r="S8" s="68">
        <f t="shared" si="1"/>
        <v>5.6437389772980602</v>
      </c>
      <c r="T8" s="117"/>
      <c r="U8" s="117"/>
      <c r="V8" s="117"/>
      <c r="W8" s="190" t="s">
        <v>97</v>
      </c>
      <c r="X8" s="190"/>
      <c r="Y8" s="180">
        <f>1.6*X4</f>
        <v>7.6190476192000007</v>
      </c>
      <c r="Z8" s="180"/>
      <c r="AA8" s="71" t="s">
        <v>6</v>
      </c>
    </row>
    <row r="9" spans="1:27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43">
        <v>30.4</v>
      </c>
      <c r="N9" s="178">
        <f>1.6*X4</f>
        <v>7.6190476192000007</v>
      </c>
      <c r="O9" s="180"/>
      <c r="P9" s="84">
        <f>1.6*X4</f>
        <v>7.6190476192000007</v>
      </c>
      <c r="Q9" s="86">
        <f t="shared" si="0"/>
        <v>58.0498866236372</v>
      </c>
      <c r="R9" s="91">
        <f t="shared" si="2"/>
        <v>12</v>
      </c>
      <c r="S9" s="68">
        <f t="shared" si="1"/>
        <v>6.4499874026263555</v>
      </c>
      <c r="T9" s="117"/>
      <c r="U9" s="117"/>
      <c r="V9" s="117"/>
      <c r="W9" s="190" t="s">
        <v>98</v>
      </c>
      <c r="X9" s="190"/>
      <c r="Y9" s="180">
        <f>Y7*Y8</f>
        <v>58.0498866236372</v>
      </c>
      <c r="Z9" s="180"/>
      <c r="AA9" s="71" t="s">
        <v>99</v>
      </c>
    </row>
    <row r="10" spans="1:27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66">
        <v>30.5</v>
      </c>
      <c r="N10" s="178">
        <f>1.6*X4</f>
        <v>7.6190476192000007</v>
      </c>
      <c r="O10" s="180"/>
      <c r="P10" s="84">
        <f>1.25*X4</f>
        <v>5.9523809525000004</v>
      </c>
      <c r="Q10" s="87">
        <f t="shared" si="0"/>
        <v>45.351473924716558</v>
      </c>
      <c r="R10" s="91">
        <f t="shared" si="2"/>
        <v>10</v>
      </c>
      <c r="S10" s="68">
        <f t="shared" si="1"/>
        <v>5.0390526583018396</v>
      </c>
      <c r="T10" s="117"/>
      <c r="U10" s="117"/>
      <c r="V10" s="117"/>
      <c r="W10" s="190" t="s">
        <v>93</v>
      </c>
      <c r="X10" s="190"/>
      <c r="Y10" s="169">
        <v>0</v>
      </c>
      <c r="Z10" s="170"/>
      <c r="AA10" s="117"/>
    </row>
    <row r="11" spans="1:27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43" t="s">
        <v>100</v>
      </c>
      <c r="N11" s="178">
        <f>12*X4</f>
        <v>57.142857144000004</v>
      </c>
      <c r="O11" s="180"/>
      <c r="P11" s="85">
        <f>6*X4</f>
        <v>28.571428572000002</v>
      </c>
      <c r="Q11" s="86">
        <f t="shared" si="0"/>
        <v>1632.6530612897961</v>
      </c>
      <c r="R11" s="91">
        <f>ROUNDUP(Q11,-1)*0.2</f>
        <v>328</v>
      </c>
      <c r="S11" s="68">
        <f t="shared" si="1"/>
        <v>181.40589569886623</v>
      </c>
      <c r="T11" s="117"/>
      <c r="U11" s="117"/>
      <c r="V11" s="117"/>
      <c r="W11" s="117"/>
      <c r="X11" s="117"/>
      <c r="Y11" s="117"/>
      <c r="Z11" s="117"/>
      <c r="AA11" s="117"/>
    </row>
    <row r="12" spans="1:27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43" t="s">
        <v>101</v>
      </c>
      <c r="N12" s="178">
        <f>1.2*X4</f>
        <v>5.7142857143999999</v>
      </c>
      <c r="O12" s="180"/>
      <c r="P12" s="85">
        <f>0.6*X4</f>
        <v>2.8571428571999999</v>
      </c>
      <c r="Q12" s="87">
        <f t="shared" si="0"/>
        <v>16.326530612897958</v>
      </c>
      <c r="R12" s="104">
        <v>0</v>
      </c>
      <c r="S12" s="68">
        <f t="shared" si="1"/>
        <v>1.814058956988662</v>
      </c>
      <c r="T12" s="117"/>
      <c r="U12" s="117"/>
      <c r="V12" s="117"/>
      <c r="W12" s="42" t="s">
        <v>102</v>
      </c>
      <c r="X12" s="67"/>
      <c r="Y12" s="80"/>
      <c r="Z12" s="42"/>
      <c r="AA12" s="117"/>
    </row>
    <row r="13" spans="1:27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0"/>
      <c r="Q13" s="103" t="s">
        <v>103</v>
      </c>
      <c r="R13" s="102">
        <f>SUM(R6:R12)</f>
        <v>382</v>
      </c>
      <c r="S13" s="117"/>
      <c r="T13" s="117"/>
      <c r="U13" s="117"/>
      <c r="V13" s="117"/>
      <c r="W13" s="195" t="s">
        <v>96</v>
      </c>
      <c r="X13" s="170"/>
      <c r="Y13" s="178">
        <f>1.2*X4</f>
        <v>5.7142857143999999</v>
      </c>
      <c r="Z13" s="191"/>
      <c r="AA13" s="71" t="s">
        <v>6</v>
      </c>
    </row>
    <row r="14" spans="1:27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42" t="s">
        <v>104</v>
      </c>
      <c r="N14" s="42"/>
      <c r="O14" s="42"/>
      <c r="P14" s="42"/>
      <c r="Q14" s="117"/>
      <c r="R14" s="117"/>
      <c r="S14" s="117"/>
      <c r="T14" s="117"/>
      <c r="U14" s="117"/>
      <c r="V14" s="117"/>
      <c r="W14" s="168" t="s">
        <v>97</v>
      </c>
      <c r="X14" s="170"/>
      <c r="Y14" s="178">
        <f>0.8*X4</f>
        <v>3.8095238096000004</v>
      </c>
      <c r="Z14" s="179"/>
      <c r="AA14" s="71" t="s">
        <v>6</v>
      </c>
    </row>
    <row r="15" spans="1:27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43" t="s">
        <v>96</v>
      </c>
      <c r="N15" s="187">
        <f>4.3*X4</f>
        <v>20.476190476599999</v>
      </c>
      <c r="O15" s="188"/>
      <c r="P15" s="189"/>
      <c r="Q15" s="71" t="s">
        <v>6</v>
      </c>
      <c r="R15" s="117"/>
      <c r="S15" s="117"/>
      <c r="T15" s="117"/>
      <c r="U15" s="117"/>
      <c r="V15" s="117"/>
      <c r="W15" s="168" t="s">
        <v>98</v>
      </c>
      <c r="X15" s="170"/>
      <c r="Y15" s="178">
        <f>Y13*Y14</f>
        <v>21.768707483863949</v>
      </c>
      <c r="Z15" s="179"/>
      <c r="AA15" s="71" t="s">
        <v>99</v>
      </c>
    </row>
    <row r="16" spans="1:27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43" t="s">
        <v>97</v>
      </c>
      <c r="N16" s="187">
        <f>0.6*X4</f>
        <v>2.8571428571999999</v>
      </c>
      <c r="O16" s="188"/>
      <c r="P16" s="189"/>
      <c r="Q16" s="71" t="s">
        <v>6</v>
      </c>
      <c r="R16" s="117"/>
      <c r="S16" s="117"/>
      <c r="T16" s="117"/>
      <c r="U16" s="117"/>
      <c r="V16" s="117"/>
      <c r="W16" s="168" t="s">
        <v>93</v>
      </c>
      <c r="X16" s="170"/>
      <c r="Y16" s="168">
        <v>0</v>
      </c>
      <c r="Z16" s="170"/>
      <c r="AA16" s="117"/>
    </row>
    <row r="17" spans="13:27">
      <c r="M17" s="43" t="s">
        <v>98</v>
      </c>
      <c r="N17" s="187">
        <f>N15*N16</f>
        <v>58.503401362884354</v>
      </c>
      <c r="O17" s="188"/>
      <c r="P17" s="189"/>
      <c r="Q17" s="71" t="s">
        <v>99</v>
      </c>
      <c r="R17" s="117"/>
      <c r="S17" s="117"/>
      <c r="T17" s="117"/>
      <c r="U17" s="117"/>
      <c r="V17" s="117"/>
      <c r="W17" s="68" t="s">
        <v>105</v>
      </c>
      <c r="X17" s="68"/>
      <c r="Y17" s="68"/>
      <c r="Z17" s="83"/>
      <c r="AA17" s="68"/>
    </row>
    <row r="18" spans="13:27">
      <c r="M18" s="43" t="s">
        <v>93</v>
      </c>
      <c r="N18" s="192">
        <v>0</v>
      </c>
      <c r="O18" s="193"/>
      <c r="P18" s="194"/>
      <c r="Q18" s="117"/>
      <c r="R18" s="117"/>
      <c r="S18" s="117"/>
      <c r="T18" s="117"/>
      <c r="U18" s="117"/>
      <c r="V18" s="117"/>
      <c r="W18" s="68" t="s">
        <v>106</v>
      </c>
      <c r="X18" s="68"/>
      <c r="Y18" s="68"/>
      <c r="Z18" s="83"/>
      <c r="AA18" s="68"/>
    </row>
    <row r="21" spans="13:27">
      <c r="M21" s="95" t="s">
        <v>107</v>
      </c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</row>
    <row r="22" spans="13:27">
      <c r="M22" s="94" t="s">
        <v>89</v>
      </c>
      <c r="N22" s="42" t="s">
        <v>90</v>
      </c>
      <c r="O22" s="42"/>
      <c r="P22" s="42" t="s">
        <v>91</v>
      </c>
      <c r="Q22" s="42" t="s">
        <v>92</v>
      </c>
      <c r="R22" s="42" t="s">
        <v>93</v>
      </c>
      <c r="S22" s="92" t="s">
        <v>94</v>
      </c>
      <c r="T22" s="90"/>
      <c r="U22" s="117"/>
      <c r="V22" s="117"/>
      <c r="W22" s="42" t="s">
        <v>108</v>
      </c>
      <c r="X22" s="42"/>
      <c r="Y22" s="42"/>
      <c r="Z22" s="42"/>
      <c r="AA22" s="117"/>
    </row>
    <row r="23" spans="13:27">
      <c r="M23" s="43">
        <v>31.1</v>
      </c>
      <c r="N23" s="187">
        <f>1.6*X4</f>
        <v>7.6190476192000007</v>
      </c>
      <c r="O23" s="188"/>
      <c r="P23" s="84">
        <f>1.25*X4</f>
        <v>5.9523809525000004</v>
      </c>
      <c r="Q23" s="88">
        <f t="shared" ref="Q23:Q30" si="3">N23*P23</f>
        <v>45.351473924716558</v>
      </c>
      <c r="R23" s="70">
        <f>ROUNDUP(Q23,-1)*0.2</f>
        <v>10</v>
      </c>
      <c r="S23" s="68">
        <f t="shared" ref="S23:S29" si="4">Q23/9</f>
        <v>5.0390526583018396</v>
      </c>
      <c r="T23" s="117"/>
      <c r="U23" s="117"/>
      <c r="V23" s="117"/>
      <c r="W23" s="68" t="s">
        <v>96</v>
      </c>
      <c r="X23" s="178">
        <f>2.8*X4</f>
        <v>13.333333333600001</v>
      </c>
      <c r="Y23" s="180"/>
      <c r="Z23" s="179"/>
      <c r="AA23" s="71" t="s">
        <v>6</v>
      </c>
    </row>
    <row r="24" spans="13:27">
      <c r="M24" s="43">
        <v>31.2</v>
      </c>
      <c r="N24" s="187">
        <f>1.6*X4</f>
        <v>7.6190476192000007</v>
      </c>
      <c r="O24" s="188"/>
      <c r="P24" s="84">
        <f>1.4*X4</f>
        <v>6.6666666668000003</v>
      </c>
      <c r="Q24" s="86">
        <f t="shared" si="3"/>
        <v>50.793650795682545</v>
      </c>
      <c r="R24" s="70">
        <f t="shared" ref="R24:R28" si="5">ROUNDUP(Q24,-1)*0.2</f>
        <v>12</v>
      </c>
      <c r="S24" s="68">
        <f t="shared" si="4"/>
        <v>5.6437389772980602</v>
      </c>
      <c r="T24" s="117"/>
      <c r="U24" s="117"/>
      <c r="V24" s="117"/>
      <c r="W24" s="68" t="s">
        <v>97</v>
      </c>
      <c r="X24" s="178">
        <f>0.7*X4</f>
        <v>3.3333333334000002</v>
      </c>
      <c r="Y24" s="180"/>
      <c r="Z24" s="179"/>
      <c r="AA24" s="71" t="s">
        <v>6</v>
      </c>
    </row>
    <row r="25" spans="13:27">
      <c r="M25" s="43">
        <v>31.3</v>
      </c>
      <c r="N25" s="187">
        <f>2.4*X4</f>
        <v>11.4285714288</v>
      </c>
      <c r="O25" s="188"/>
      <c r="P25" s="84">
        <f>1.4*X4</f>
        <v>6.6666666668000003</v>
      </c>
      <c r="Q25" s="86">
        <f t="shared" si="3"/>
        <v>76.190476193523807</v>
      </c>
      <c r="R25" s="70">
        <f t="shared" si="5"/>
        <v>16</v>
      </c>
      <c r="S25" s="68">
        <f t="shared" si="4"/>
        <v>8.4656084659470903</v>
      </c>
      <c r="T25" s="117"/>
      <c r="U25" s="117"/>
      <c r="V25" s="117"/>
      <c r="W25" s="68" t="s">
        <v>98</v>
      </c>
      <c r="X25" s="178">
        <f>X24*X23</f>
        <v>44.444444446222228</v>
      </c>
      <c r="Y25" s="180"/>
      <c r="Z25" s="179"/>
      <c r="AA25" s="71" t="s">
        <v>99</v>
      </c>
    </row>
    <row r="26" spans="13:27">
      <c r="M26" s="43">
        <v>31.4</v>
      </c>
      <c r="N26" s="187">
        <f>1.6*X4</f>
        <v>7.6190476192000007</v>
      </c>
      <c r="O26" s="188"/>
      <c r="P26" s="84">
        <f>1.6*X4</f>
        <v>7.6190476192000007</v>
      </c>
      <c r="Q26" s="86">
        <f t="shared" si="3"/>
        <v>58.0498866236372</v>
      </c>
      <c r="R26" s="70">
        <f t="shared" si="5"/>
        <v>12</v>
      </c>
      <c r="S26" s="68">
        <f t="shared" si="4"/>
        <v>6.4499874026263555</v>
      </c>
      <c r="T26" s="117"/>
      <c r="U26" s="117"/>
      <c r="V26" s="117"/>
      <c r="W26" s="68" t="s">
        <v>93</v>
      </c>
      <c r="X26" s="168">
        <v>0</v>
      </c>
      <c r="Y26" s="169"/>
      <c r="Z26" s="170"/>
      <c r="AA26" s="117"/>
    </row>
    <row r="27" spans="13:27">
      <c r="M27" s="43">
        <v>31.5</v>
      </c>
      <c r="N27" s="187">
        <f>1.2*X4</f>
        <v>5.7142857143999999</v>
      </c>
      <c r="O27" s="188"/>
      <c r="P27" s="84">
        <f>1.6*X4</f>
        <v>7.6190476192000007</v>
      </c>
      <c r="Q27" s="86">
        <f t="shared" si="3"/>
        <v>43.537414967727898</v>
      </c>
      <c r="R27" s="70">
        <f t="shared" si="5"/>
        <v>10</v>
      </c>
      <c r="S27" s="68">
        <f t="shared" si="4"/>
        <v>4.8374905519697666</v>
      </c>
      <c r="T27" s="117"/>
      <c r="U27" s="117"/>
      <c r="V27" s="117"/>
      <c r="W27" s="117"/>
      <c r="X27" s="117"/>
      <c r="Y27" s="117"/>
      <c r="Z27" s="117"/>
      <c r="AA27" s="117"/>
    </row>
    <row r="28" spans="13:27">
      <c r="M28" s="43">
        <v>31.6</v>
      </c>
      <c r="N28" s="187">
        <f>1.4*X4</f>
        <v>6.6666666668000003</v>
      </c>
      <c r="O28" s="188"/>
      <c r="P28" s="84">
        <f>1.4*X4</f>
        <v>6.6666666668000003</v>
      </c>
      <c r="Q28" s="87">
        <f t="shared" si="3"/>
        <v>44.444444446222228</v>
      </c>
      <c r="R28" s="70">
        <f t="shared" si="5"/>
        <v>10</v>
      </c>
      <c r="S28" s="68">
        <f t="shared" si="4"/>
        <v>4.9382716051358031</v>
      </c>
      <c r="T28" s="117"/>
      <c r="U28" s="117"/>
      <c r="V28" s="117"/>
      <c r="W28" s="42" t="s">
        <v>109</v>
      </c>
      <c r="X28" s="67"/>
      <c r="Y28" s="42"/>
      <c r="Z28" s="42"/>
      <c r="AA28" s="117"/>
    </row>
    <row r="29" spans="13:27">
      <c r="M29" s="66" t="s">
        <v>100</v>
      </c>
      <c r="N29" s="187">
        <f>12*X4</f>
        <v>57.142857144000004</v>
      </c>
      <c r="O29" s="188"/>
      <c r="P29" s="84">
        <f>6*X4</f>
        <v>28.571428572000002</v>
      </c>
      <c r="Q29" s="87">
        <f t="shared" si="3"/>
        <v>1632.6530612897961</v>
      </c>
      <c r="R29" s="70">
        <v>0</v>
      </c>
      <c r="S29" s="68">
        <f t="shared" si="4"/>
        <v>181.40589569886623</v>
      </c>
      <c r="T29" s="117"/>
      <c r="U29" s="117"/>
      <c r="V29" s="117"/>
      <c r="W29" s="168" t="s">
        <v>96</v>
      </c>
      <c r="X29" s="170"/>
      <c r="Y29" s="178">
        <f>1.2*X4</f>
        <v>5.7142857143999999</v>
      </c>
      <c r="Z29" s="179"/>
      <c r="AA29" s="71" t="s">
        <v>6</v>
      </c>
    </row>
    <row r="30" spans="13:27">
      <c r="M30" s="43" t="s">
        <v>110</v>
      </c>
      <c r="N30" s="171">
        <f>1.2*X4</f>
        <v>5.7142857143999999</v>
      </c>
      <c r="O30" s="172"/>
      <c r="P30" s="177">
        <f>0.5*X4</f>
        <v>2.3809523810000002</v>
      </c>
      <c r="Q30" s="181">
        <f t="shared" si="3"/>
        <v>13.605442177414966</v>
      </c>
      <c r="R30" s="184">
        <v>0</v>
      </c>
      <c r="S30" s="117"/>
      <c r="T30" s="117"/>
      <c r="U30" s="117"/>
      <c r="V30" s="117"/>
      <c r="W30" s="168" t="s">
        <v>97</v>
      </c>
      <c r="X30" s="170"/>
      <c r="Y30" s="178">
        <f>0.8*X4</f>
        <v>3.8095238096000004</v>
      </c>
      <c r="Z30" s="179"/>
      <c r="AA30" s="71" t="s">
        <v>6</v>
      </c>
    </row>
    <row r="31" spans="13:27">
      <c r="M31" s="43" t="s">
        <v>111</v>
      </c>
      <c r="N31" s="173"/>
      <c r="O31" s="174"/>
      <c r="P31" s="177"/>
      <c r="Q31" s="182"/>
      <c r="R31" s="185"/>
      <c r="S31" s="117"/>
      <c r="T31" s="117"/>
      <c r="U31" s="117"/>
      <c r="V31" s="117"/>
      <c r="W31" s="168" t="s">
        <v>98</v>
      </c>
      <c r="X31" s="170"/>
      <c r="Y31" s="178">
        <f>Y30*Y29</f>
        <v>21.768707483863949</v>
      </c>
      <c r="Z31" s="179"/>
      <c r="AA31" s="71" t="s">
        <v>99</v>
      </c>
    </row>
    <row r="32" spans="13:27">
      <c r="M32" s="43" t="s">
        <v>112</v>
      </c>
      <c r="N32" s="173"/>
      <c r="O32" s="174"/>
      <c r="P32" s="177"/>
      <c r="Q32" s="182"/>
      <c r="R32" s="185"/>
      <c r="S32" s="117"/>
      <c r="T32" s="117"/>
      <c r="U32" s="117"/>
      <c r="V32" s="117"/>
      <c r="W32" s="168" t="s">
        <v>93</v>
      </c>
      <c r="X32" s="170"/>
      <c r="Y32" s="168">
        <v>0</v>
      </c>
      <c r="Z32" s="170"/>
      <c r="AA32" s="117"/>
    </row>
    <row r="33" spans="12:27">
      <c r="L33" s="117"/>
      <c r="M33" s="43" t="s">
        <v>113</v>
      </c>
      <c r="N33" s="175"/>
      <c r="O33" s="176"/>
      <c r="P33" s="177"/>
      <c r="Q33" s="183"/>
      <c r="R33" s="186"/>
      <c r="S33" s="117"/>
      <c r="T33" s="117"/>
      <c r="U33" s="117"/>
      <c r="V33" s="117"/>
      <c r="W33" s="68" t="s">
        <v>114</v>
      </c>
      <c r="X33" s="68"/>
      <c r="Y33" s="68"/>
      <c r="Z33" s="83"/>
      <c r="AA33" s="68"/>
    </row>
    <row r="34" spans="12:27">
      <c r="L34" s="117"/>
      <c r="M34" s="117"/>
      <c r="N34" s="117"/>
      <c r="O34" s="117"/>
      <c r="P34" s="117"/>
      <c r="Q34" s="103" t="s">
        <v>103</v>
      </c>
      <c r="R34" s="102">
        <f>SUM(R23:R33)</f>
        <v>70</v>
      </c>
      <c r="S34" s="117"/>
      <c r="T34" s="117"/>
      <c r="U34" s="117"/>
      <c r="V34" s="117"/>
      <c r="W34" s="68" t="s">
        <v>115</v>
      </c>
      <c r="X34" s="68"/>
      <c r="Y34" s="68"/>
      <c r="Z34" s="83"/>
      <c r="AA34" s="68"/>
    </row>
    <row r="35" spans="12:27">
      <c r="L35" s="117"/>
      <c r="M35" s="42" t="s">
        <v>116</v>
      </c>
      <c r="N35" s="42"/>
      <c r="O35" s="42"/>
      <c r="P35" s="42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</row>
    <row r="36" spans="12:27">
      <c r="L36" s="117"/>
      <c r="M36" s="68" t="s">
        <v>96</v>
      </c>
      <c r="N36" s="178">
        <f>4.3*X4</f>
        <v>20.476190476599999</v>
      </c>
      <c r="O36" s="180"/>
      <c r="P36" s="179"/>
      <c r="Q36" s="71" t="s">
        <v>6</v>
      </c>
      <c r="R36" s="117"/>
      <c r="S36" s="117"/>
      <c r="T36" s="117"/>
      <c r="U36" s="117"/>
      <c r="V36" s="117"/>
      <c r="W36" s="117"/>
      <c r="X36" s="117"/>
      <c r="Y36" s="117"/>
      <c r="Z36" s="117"/>
      <c r="AA36" s="117"/>
    </row>
    <row r="37" spans="12:27">
      <c r="L37" s="117"/>
      <c r="M37" s="68" t="s">
        <v>97</v>
      </c>
      <c r="N37" s="178">
        <f>0.6*X4</f>
        <v>2.8571428571999999</v>
      </c>
      <c r="O37" s="180"/>
      <c r="P37" s="179"/>
      <c r="Q37" s="71" t="s">
        <v>6</v>
      </c>
      <c r="R37" s="117"/>
      <c r="S37" s="117"/>
      <c r="T37" s="117"/>
      <c r="U37" s="117"/>
      <c r="V37" s="117"/>
      <c r="W37" s="117"/>
      <c r="X37" s="117"/>
      <c r="Y37" s="117"/>
      <c r="Z37" s="117"/>
      <c r="AA37" s="117"/>
    </row>
    <row r="38" spans="12:27">
      <c r="L38" s="117"/>
      <c r="M38" s="68" t="s">
        <v>98</v>
      </c>
      <c r="N38" s="178">
        <f>N37*N36</f>
        <v>58.503401362884354</v>
      </c>
      <c r="O38" s="180"/>
      <c r="P38" s="179"/>
      <c r="Q38" s="71" t="s">
        <v>99</v>
      </c>
      <c r="R38" s="117"/>
      <c r="S38" s="117"/>
      <c r="T38" s="107" t="s">
        <v>117</v>
      </c>
      <c r="U38" s="108"/>
      <c r="V38" s="117"/>
      <c r="W38" s="117"/>
      <c r="X38" s="117"/>
      <c r="Y38" s="117"/>
      <c r="Z38" s="117"/>
      <c r="AA38" s="117"/>
    </row>
    <row r="39" spans="12:27">
      <c r="L39" s="117"/>
      <c r="M39" s="68" t="s">
        <v>93</v>
      </c>
      <c r="N39" s="168">
        <v>0</v>
      </c>
      <c r="O39" s="169"/>
      <c r="P39" s="170"/>
      <c r="Q39" s="117"/>
      <c r="R39" s="117"/>
      <c r="S39" s="117"/>
      <c r="T39" s="105" t="s">
        <v>118</v>
      </c>
      <c r="U39" s="105" t="s">
        <v>13</v>
      </c>
      <c r="V39" s="109" t="s">
        <v>119</v>
      </c>
      <c r="W39" s="106">
        <v>10</v>
      </c>
      <c r="X39" s="109" t="s">
        <v>88</v>
      </c>
      <c r="Y39" s="117"/>
      <c r="Z39" s="117"/>
      <c r="AA39" s="117"/>
    </row>
    <row r="40" spans="12:27"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</row>
    <row r="41" spans="12:27" ht="15">
      <c r="L41" s="117"/>
      <c r="M41" s="120"/>
      <c r="N41" s="120"/>
      <c r="O41" s="120"/>
      <c r="P41" s="120"/>
      <c r="Q41" s="120"/>
      <c r="R41" s="120"/>
      <c r="S41" s="117"/>
      <c r="T41" s="117"/>
      <c r="U41" s="117"/>
      <c r="V41" s="117"/>
      <c r="W41" s="117"/>
      <c r="X41" s="117"/>
      <c r="Y41" s="117"/>
      <c r="Z41" s="117"/>
      <c r="AA41" s="117"/>
    </row>
    <row r="42" spans="12:27" ht="15">
      <c r="L42" s="117"/>
      <c r="M42" s="120"/>
      <c r="N42" s="120"/>
      <c r="O42" s="119"/>
      <c r="P42" s="120"/>
      <c r="Q42" s="120"/>
      <c r="R42" s="120"/>
      <c r="S42" s="120"/>
      <c r="T42" s="119"/>
      <c r="U42" s="117"/>
      <c r="V42" s="117"/>
      <c r="W42" s="117"/>
      <c r="X42" s="117"/>
      <c r="Y42" s="117"/>
      <c r="Z42" s="117"/>
      <c r="AA42" s="117"/>
    </row>
    <row r="43" spans="12:27" ht="14.45" customHeight="1">
      <c r="L43" s="117"/>
      <c r="M43" s="120"/>
      <c r="N43" s="120"/>
      <c r="O43" s="119"/>
      <c r="P43" s="120"/>
      <c r="Q43" s="120"/>
      <c r="R43" s="120"/>
      <c r="S43" s="120"/>
      <c r="T43" s="119"/>
      <c r="U43" s="117"/>
      <c r="V43" s="117"/>
      <c r="W43" s="117"/>
      <c r="X43" s="117"/>
      <c r="Y43" s="117"/>
      <c r="Z43" s="117"/>
      <c r="AA43" s="117"/>
    </row>
    <row r="44" spans="12:27" ht="14.45" customHeight="1">
      <c r="L44" s="117"/>
      <c r="M44" s="120"/>
      <c r="N44" s="120"/>
      <c r="O44" s="119"/>
      <c r="P44" s="120"/>
      <c r="Q44" s="120"/>
      <c r="R44" s="120"/>
      <c r="S44" s="120"/>
      <c r="T44" s="119"/>
      <c r="U44" s="117"/>
      <c r="V44" s="117"/>
      <c r="W44" s="117"/>
      <c r="X44" s="117"/>
      <c r="Y44" s="117"/>
      <c r="Z44" s="117"/>
      <c r="AA44" s="117"/>
    </row>
    <row r="45" spans="12:27" ht="14.45" customHeight="1">
      <c r="L45" s="117"/>
      <c r="M45" s="120"/>
      <c r="N45" s="120"/>
      <c r="O45" s="119"/>
      <c r="P45" s="120"/>
      <c r="Q45" s="120"/>
      <c r="R45" s="120"/>
      <c r="S45" s="120"/>
      <c r="T45" s="119"/>
      <c r="U45" s="117"/>
      <c r="V45" s="117"/>
      <c r="W45" s="117"/>
      <c r="X45" s="117"/>
      <c r="Y45" s="117"/>
      <c r="Z45" s="117"/>
      <c r="AA45" s="117"/>
    </row>
    <row r="46" spans="12:27" ht="14.45" customHeight="1">
      <c r="L46" s="117"/>
      <c r="M46" s="120"/>
      <c r="N46" s="120"/>
      <c r="O46" s="119"/>
      <c r="P46" s="120"/>
      <c r="Q46" s="120"/>
      <c r="R46" s="120"/>
      <c r="S46" s="120"/>
      <c r="T46" s="119"/>
      <c r="U46" s="117"/>
      <c r="V46" s="117"/>
      <c r="W46" s="117"/>
      <c r="X46" s="117"/>
      <c r="Y46" s="117"/>
      <c r="Z46" s="117"/>
      <c r="AA46" s="117"/>
    </row>
    <row r="47" spans="12:27" ht="14.45" customHeight="1">
      <c r="L47" s="117"/>
      <c r="M47" s="120"/>
      <c r="N47" s="120"/>
      <c r="O47" s="119"/>
      <c r="P47" s="120"/>
      <c r="Q47" s="120"/>
      <c r="R47" s="120"/>
      <c r="S47" s="120"/>
      <c r="T47" s="119"/>
      <c r="U47" s="117"/>
      <c r="V47" s="117"/>
      <c r="W47" s="117"/>
      <c r="X47" s="117"/>
      <c r="Y47" s="117"/>
      <c r="Z47" s="117"/>
      <c r="AA47" s="117"/>
    </row>
    <row r="48" spans="12:27" ht="15">
      <c r="L48" s="117"/>
      <c r="M48" s="120"/>
      <c r="N48" s="120"/>
      <c r="O48" s="119"/>
      <c r="P48" s="120"/>
      <c r="Q48" s="120"/>
      <c r="R48" s="120"/>
      <c r="S48" s="120"/>
      <c r="T48" s="119"/>
      <c r="U48" s="117"/>
      <c r="V48" s="117"/>
      <c r="W48" s="117"/>
      <c r="X48" s="117"/>
      <c r="Y48" s="117"/>
      <c r="Z48" s="117"/>
      <c r="AA48" s="117"/>
    </row>
    <row r="49" spans="12:21" ht="15">
      <c r="L49" s="117"/>
      <c r="M49" s="120"/>
      <c r="N49" s="120"/>
      <c r="O49" s="119"/>
      <c r="P49" s="120"/>
      <c r="Q49" s="120"/>
      <c r="R49" s="120"/>
      <c r="S49" s="120"/>
      <c r="T49" s="119"/>
      <c r="U49" s="117"/>
    </row>
    <row r="50" spans="12:21" ht="15">
      <c r="L50" s="117"/>
      <c r="M50" s="120"/>
      <c r="N50" s="120"/>
      <c r="O50" s="120"/>
      <c r="P50" s="120"/>
      <c r="Q50" s="120"/>
      <c r="R50" s="120"/>
      <c r="S50" s="119"/>
      <c r="T50" s="119"/>
      <c r="U50" s="117"/>
    </row>
    <row r="51" spans="12:21">
      <c r="L51" s="117"/>
      <c r="M51" s="120"/>
      <c r="N51" s="120"/>
      <c r="O51" s="119"/>
      <c r="P51" s="120"/>
      <c r="Q51" s="120"/>
      <c r="R51" s="120"/>
      <c r="S51" s="120"/>
      <c r="T51" s="119"/>
      <c r="U51" s="117"/>
    </row>
    <row r="52" spans="12:21">
      <c r="L52" s="117"/>
      <c r="M52" s="120"/>
      <c r="N52" s="120"/>
      <c r="O52" s="119"/>
      <c r="P52" s="120"/>
      <c r="Q52" s="120"/>
      <c r="R52" s="120"/>
      <c r="S52" s="120"/>
      <c r="T52" s="119"/>
      <c r="U52" s="117"/>
    </row>
    <row r="53" spans="12:21">
      <c r="L53" s="117"/>
      <c r="M53" s="120"/>
      <c r="N53" s="120"/>
      <c r="O53" s="120"/>
      <c r="P53" s="120"/>
      <c r="Q53" s="120"/>
      <c r="R53" s="120"/>
      <c r="S53" s="117"/>
      <c r="T53" s="117"/>
      <c r="U53" s="117"/>
    </row>
    <row r="54" spans="12:21">
      <c r="L54" s="117"/>
      <c r="M54" s="120"/>
      <c r="N54" s="120"/>
      <c r="O54" s="120"/>
      <c r="P54" s="120"/>
      <c r="Q54" s="120"/>
      <c r="R54" s="120"/>
      <c r="S54" s="117"/>
      <c r="T54" s="117"/>
      <c r="U54" s="117"/>
    </row>
    <row r="55" spans="12:21">
      <c r="L55" s="117"/>
      <c r="M55" s="121"/>
      <c r="N55" s="121"/>
      <c r="O55" s="120"/>
      <c r="P55" s="120"/>
      <c r="Q55" s="120"/>
      <c r="R55" s="120"/>
      <c r="S55" s="117"/>
      <c r="T55" s="117"/>
      <c r="U55" s="117"/>
    </row>
    <row r="56" spans="12:21" ht="14.65" customHeight="1">
      <c r="L56" s="117"/>
      <c r="M56" s="121"/>
      <c r="N56" s="121"/>
      <c r="O56" s="120"/>
      <c r="P56" s="120"/>
      <c r="Q56" s="120"/>
      <c r="R56" s="120"/>
      <c r="S56" s="117"/>
      <c r="T56" s="117"/>
      <c r="U56" s="117"/>
    </row>
    <row r="57" spans="12:21">
      <c r="L57" s="117"/>
      <c r="M57" s="117"/>
      <c r="N57" s="117"/>
      <c r="O57" s="117"/>
      <c r="P57" s="117"/>
      <c r="Q57" s="117"/>
      <c r="R57" s="117"/>
      <c r="S57" s="117"/>
      <c r="T57" s="117"/>
      <c r="U57" s="117"/>
    </row>
  </sheetData>
  <mergeCells count="55">
    <mergeCell ref="N18:P18"/>
    <mergeCell ref="W29:X29"/>
    <mergeCell ref="W13:X13"/>
    <mergeCell ref="Y15:Z15"/>
    <mergeCell ref="Y16:Z16"/>
    <mergeCell ref="X23:Z23"/>
    <mergeCell ref="N28:O28"/>
    <mergeCell ref="N29:O29"/>
    <mergeCell ref="X24:Z24"/>
    <mergeCell ref="X25:Z25"/>
    <mergeCell ref="X26:Z26"/>
    <mergeCell ref="Y29:Z29"/>
    <mergeCell ref="N16:P16"/>
    <mergeCell ref="N17:P17"/>
    <mergeCell ref="N23:O23"/>
    <mergeCell ref="N24:O24"/>
    <mergeCell ref="A1:F2"/>
    <mergeCell ref="W14:X14"/>
    <mergeCell ref="W15:X15"/>
    <mergeCell ref="W16:X16"/>
    <mergeCell ref="N6:O6"/>
    <mergeCell ref="N7:O7"/>
    <mergeCell ref="N8:O8"/>
    <mergeCell ref="N9:O9"/>
    <mergeCell ref="N10:O10"/>
    <mergeCell ref="Y7:Z7"/>
    <mergeCell ref="Y8:Z8"/>
    <mergeCell ref="Y9:Z9"/>
    <mergeCell ref="Y10:Z10"/>
    <mergeCell ref="N15:P15"/>
    <mergeCell ref="W8:X8"/>
    <mergeCell ref="W9:X9"/>
    <mergeCell ref="Y13:Z13"/>
    <mergeCell ref="N12:O12"/>
    <mergeCell ref="W10:X10"/>
    <mergeCell ref="W7:X7"/>
    <mergeCell ref="Y14:Z14"/>
    <mergeCell ref="N11:O11"/>
    <mergeCell ref="N25:O25"/>
    <mergeCell ref="N26:O26"/>
    <mergeCell ref="N27:O27"/>
    <mergeCell ref="N37:P37"/>
    <mergeCell ref="N38:P38"/>
    <mergeCell ref="N39:P39"/>
    <mergeCell ref="N30:O33"/>
    <mergeCell ref="P30:P33"/>
    <mergeCell ref="Y30:Z30"/>
    <mergeCell ref="Y31:Z31"/>
    <mergeCell ref="Y32:Z32"/>
    <mergeCell ref="N36:P36"/>
    <mergeCell ref="W32:X32"/>
    <mergeCell ref="W30:X30"/>
    <mergeCell ref="W31:X31"/>
    <mergeCell ref="Q30:Q33"/>
    <mergeCell ref="R30:R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6943-092C-44A5-9A41-9A86159806D3}">
  <dimension ref="A1:O88"/>
  <sheetViews>
    <sheetView zoomScale="55" zoomScaleNormal="55" workbookViewId="0">
      <selection activeCell="C15" sqref="C15"/>
    </sheetView>
  </sheetViews>
  <sheetFormatPr defaultRowHeight="14.45"/>
  <cols>
    <col min="2" max="2" width="10.5703125" bestFit="1" customWidth="1"/>
    <col min="3" max="3" width="17.140625" bestFit="1" customWidth="1"/>
    <col min="4" max="4" width="11.140625" bestFit="1" customWidth="1"/>
    <col min="5" max="5" width="10.85546875" bestFit="1" customWidth="1"/>
    <col min="6" max="6" width="7.7109375" bestFit="1" customWidth="1"/>
  </cols>
  <sheetData>
    <row r="1" spans="1:15">
      <c r="A1" s="201" t="s">
        <v>120</v>
      </c>
      <c r="B1" s="201"/>
      <c r="C1" s="201"/>
      <c r="D1" s="201"/>
      <c r="E1" s="201"/>
      <c r="F1" s="201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4.65" customHeight="1">
      <c r="A2" s="201"/>
      <c r="B2" s="201"/>
      <c r="C2" s="201"/>
      <c r="D2" s="201"/>
      <c r="E2" s="201"/>
      <c r="F2" s="201"/>
      <c r="G2" s="117"/>
      <c r="H2" s="196" t="s">
        <v>121</v>
      </c>
      <c r="I2" s="196"/>
      <c r="J2" s="196"/>
      <c r="K2" s="196"/>
      <c r="L2" s="117"/>
      <c r="M2" s="116"/>
      <c r="N2" s="117"/>
      <c r="O2" s="117"/>
    </row>
    <row r="3" spans="1:15">
      <c r="A3" s="117"/>
      <c r="B3" s="117"/>
      <c r="C3" s="117"/>
      <c r="D3" s="117"/>
      <c r="E3" s="117"/>
      <c r="F3" s="117"/>
      <c r="G3" s="117"/>
      <c r="H3" s="75">
        <v>2.1</v>
      </c>
      <c r="I3" s="75" t="s">
        <v>13</v>
      </c>
      <c r="J3" s="75">
        <v>10</v>
      </c>
      <c r="K3" s="75" t="s">
        <v>6</v>
      </c>
      <c r="L3" s="117"/>
      <c r="M3" s="117"/>
      <c r="N3" s="117"/>
      <c r="O3" s="117"/>
    </row>
    <row r="4" spans="1:15">
      <c r="A4" s="117"/>
      <c r="B4" s="117"/>
      <c r="C4" s="117"/>
      <c r="D4" s="117"/>
      <c r="E4" s="117"/>
      <c r="F4" s="117"/>
      <c r="G4" s="117"/>
      <c r="H4" s="78" t="s">
        <v>0</v>
      </c>
      <c r="I4" s="75" t="s">
        <v>13</v>
      </c>
      <c r="J4" s="78" t="s">
        <v>1</v>
      </c>
      <c r="K4" s="75" t="s">
        <v>6</v>
      </c>
      <c r="L4" s="117"/>
      <c r="M4" s="117"/>
      <c r="N4" s="30"/>
      <c r="O4" s="30"/>
    </row>
    <row r="5" spans="1:15">
      <c r="A5" s="30"/>
      <c r="B5" s="200" t="s">
        <v>122</v>
      </c>
      <c r="C5" s="200"/>
      <c r="D5" s="200"/>
      <c r="E5" s="200"/>
      <c r="F5" s="200"/>
      <c r="G5" s="117"/>
      <c r="H5" s="117"/>
      <c r="I5" s="117"/>
      <c r="J5" s="117"/>
      <c r="K5" s="117"/>
      <c r="L5" s="117"/>
      <c r="M5" s="117"/>
      <c r="N5" s="30"/>
      <c r="O5" s="30"/>
    </row>
    <row r="6" spans="1:15">
      <c r="A6" s="30"/>
      <c r="B6" s="200"/>
      <c r="C6" s="200"/>
      <c r="D6" s="200"/>
      <c r="E6" s="200"/>
      <c r="F6" s="200"/>
      <c r="G6" s="117"/>
      <c r="H6" s="117"/>
      <c r="I6" s="117"/>
      <c r="J6" s="117"/>
      <c r="K6" s="117"/>
      <c r="L6" s="117"/>
      <c r="M6" s="117"/>
      <c r="N6" s="30"/>
      <c r="O6" s="30"/>
    </row>
    <row r="7" spans="1:15">
      <c r="A7" s="31"/>
      <c r="B7" s="72" t="s">
        <v>17</v>
      </c>
      <c r="C7" s="72" t="s">
        <v>123</v>
      </c>
      <c r="D7" s="72" t="s">
        <v>124</v>
      </c>
      <c r="E7" s="72" t="s">
        <v>125</v>
      </c>
      <c r="F7" s="72" t="s">
        <v>126</v>
      </c>
      <c r="G7" s="117"/>
      <c r="H7" s="117"/>
      <c r="I7" s="117"/>
      <c r="J7" s="117"/>
      <c r="K7" s="117"/>
      <c r="L7" s="117"/>
      <c r="M7" s="117"/>
      <c r="N7" s="30"/>
      <c r="O7" s="30"/>
    </row>
    <row r="8" spans="1:15">
      <c r="A8" s="31"/>
      <c r="B8" s="93" t="s">
        <v>127</v>
      </c>
      <c r="C8" s="73">
        <f>1.6*$J$3/$H$3</f>
        <v>7.6190476190476186</v>
      </c>
      <c r="D8" s="73">
        <f>1.5*$J$3/$H$3</f>
        <v>7.1428571428571423</v>
      </c>
      <c r="E8" s="73">
        <f>C8*D8</f>
        <v>54.42176870748299</v>
      </c>
      <c r="F8" s="74">
        <f>ROUNDUP(E8,-1)*0.2</f>
        <v>12</v>
      </c>
      <c r="G8" s="117"/>
      <c r="H8" s="117"/>
      <c r="I8" s="117"/>
      <c r="J8" s="117"/>
      <c r="K8" s="117"/>
      <c r="L8" s="117"/>
      <c r="M8" s="117"/>
      <c r="N8" s="117"/>
      <c r="O8" s="117"/>
    </row>
    <row r="9" spans="1:15">
      <c r="A9" s="31"/>
      <c r="B9" s="134" t="s">
        <v>128</v>
      </c>
      <c r="C9" s="135">
        <f>1.6*$J$3/$H$3</f>
        <v>7.6190476190476186</v>
      </c>
      <c r="D9" s="135">
        <f>1.5*$J$3/$H$3</f>
        <v>7.1428571428571423</v>
      </c>
      <c r="E9" s="135">
        <f>C9*D9</f>
        <v>54.42176870748299</v>
      </c>
      <c r="F9" s="136">
        <f t="shared" ref="F9:F12" si="0">ROUNDUP(E9,-1)*0.2</f>
        <v>12</v>
      </c>
      <c r="G9" s="117"/>
      <c r="H9" s="117"/>
      <c r="I9" s="117"/>
      <c r="J9" s="117"/>
      <c r="K9" s="117"/>
      <c r="L9" s="117"/>
      <c r="M9" s="117"/>
      <c r="N9" s="117"/>
      <c r="O9" s="117"/>
    </row>
    <row r="10" spans="1:15">
      <c r="A10" s="31"/>
      <c r="B10" s="134" t="s">
        <v>129</v>
      </c>
      <c r="C10" s="135">
        <f>1.6*$J$3/$H$3</f>
        <v>7.6190476190476186</v>
      </c>
      <c r="D10" s="135">
        <f>1.6*$J$3/$H$3</f>
        <v>7.6190476190476186</v>
      </c>
      <c r="E10" s="135">
        <f>C10*D10</f>
        <v>58.049886621315189</v>
      </c>
      <c r="F10" s="136">
        <f t="shared" si="0"/>
        <v>12</v>
      </c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>
      <c r="A11" s="117"/>
      <c r="B11" s="134" t="s">
        <v>130</v>
      </c>
      <c r="C11" s="135">
        <f>1.6*$J$3/$H$3</f>
        <v>7.6190476190476186</v>
      </c>
      <c r="D11" s="135">
        <f>1.3*$J$3/$H$3</f>
        <v>6.1904761904761898</v>
      </c>
      <c r="E11" s="135">
        <f>C11*D11</f>
        <v>47.165532879818585</v>
      </c>
      <c r="F11" s="136">
        <f t="shared" si="0"/>
        <v>10</v>
      </c>
      <c r="G11" s="117"/>
      <c r="H11" s="117"/>
      <c r="I11" s="117"/>
      <c r="J11" s="117"/>
      <c r="K11" s="117"/>
      <c r="L11" s="117"/>
      <c r="M11" s="117"/>
      <c r="N11" s="117"/>
      <c r="O11" s="117"/>
    </row>
    <row r="12" spans="1:15">
      <c r="A12" s="117"/>
      <c r="B12" s="197" t="s">
        <v>131</v>
      </c>
      <c r="C12" s="135">
        <f>1.7*$J$3/$H$3</f>
        <v>8.0952380952380949</v>
      </c>
      <c r="D12" s="135">
        <f>12*$J$3/$H$3</f>
        <v>57.142857142857139</v>
      </c>
      <c r="E12" s="198">
        <f>(C12*D12)+(C13*D13)</f>
        <v>1710.204081632653</v>
      </c>
      <c r="F12" s="202">
        <f t="shared" si="0"/>
        <v>344</v>
      </c>
      <c r="G12" s="117"/>
      <c r="H12" s="117"/>
      <c r="I12" s="117"/>
      <c r="J12" s="117"/>
      <c r="K12" s="117"/>
      <c r="L12" s="117"/>
      <c r="M12" s="117"/>
      <c r="N12" s="117"/>
      <c r="O12" s="117"/>
    </row>
    <row r="13" spans="1:15">
      <c r="A13" s="117"/>
      <c r="B13" s="197"/>
      <c r="C13" s="135">
        <f>4.2*$J$3/$H$3</f>
        <v>20</v>
      </c>
      <c r="D13" s="135">
        <f>13.1*$J$3/$H$3</f>
        <v>62.38095238095238</v>
      </c>
      <c r="E13" s="199"/>
      <c r="F13" s="203"/>
      <c r="G13" s="117"/>
      <c r="H13" s="117"/>
      <c r="I13" s="117"/>
      <c r="J13" s="117"/>
      <c r="K13" s="117"/>
      <c r="L13" s="32"/>
      <c r="M13" s="117"/>
      <c r="N13" s="117"/>
      <c r="O13" s="117"/>
    </row>
    <row r="14" spans="1:15" ht="15.75" customHeight="1">
      <c r="A14" s="117"/>
      <c r="B14" s="69"/>
      <c r="C14" s="69"/>
      <c r="D14" s="69"/>
      <c r="E14" s="96" t="s">
        <v>103</v>
      </c>
      <c r="F14" s="97">
        <f>SUM(F8:F13)</f>
        <v>390</v>
      </c>
      <c r="G14" s="117"/>
      <c r="H14" s="117"/>
      <c r="I14" s="117"/>
      <c r="J14" s="117"/>
      <c r="K14" s="117"/>
      <c r="L14" s="117"/>
      <c r="M14" s="117"/>
      <c r="N14" s="117"/>
      <c r="O14" s="117"/>
    </row>
    <row r="18" spans="2:15" ht="16.5" customHeight="1">
      <c r="B18" s="200" t="s">
        <v>27</v>
      </c>
      <c r="C18" s="200"/>
      <c r="D18" s="200"/>
      <c r="E18" s="200"/>
      <c r="F18" s="200"/>
      <c r="G18" s="117"/>
      <c r="H18" s="117"/>
      <c r="I18" s="117"/>
      <c r="J18" s="117"/>
      <c r="K18" s="117"/>
      <c r="L18" s="117"/>
      <c r="M18" s="117"/>
      <c r="N18" s="117"/>
      <c r="O18" s="117"/>
    </row>
    <row r="19" spans="2:15">
      <c r="B19" s="200"/>
      <c r="C19" s="200"/>
      <c r="D19" s="200"/>
      <c r="E19" s="200"/>
      <c r="F19" s="200"/>
      <c r="G19" s="117"/>
      <c r="H19" s="117"/>
      <c r="I19" s="117"/>
      <c r="J19" s="117"/>
      <c r="K19" s="117"/>
      <c r="L19" s="117"/>
      <c r="M19" s="117"/>
      <c r="N19" s="117"/>
      <c r="O19" s="117"/>
    </row>
    <row r="20" spans="2:15">
      <c r="B20" s="72" t="s">
        <v>17</v>
      </c>
      <c r="C20" s="72" t="s">
        <v>123</v>
      </c>
      <c r="D20" s="72" t="s">
        <v>124</v>
      </c>
      <c r="E20" s="72" t="s">
        <v>125</v>
      </c>
      <c r="F20" s="72" t="s">
        <v>126</v>
      </c>
      <c r="G20" s="117"/>
      <c r="H20" s="117"/>
      <c r="I20" s="117"/>
      <c r="J20" s="117"/>
      <c r="K20" s="117"/>
      <c r="L20" s="117"/>
      <c r="M20" s="117"/>
      <c r="N20" s="117"/>
      <c r="O20" s="117"/>
    </row>
    <row r="21" spans="2:15">
      <c r="B21" s="134" t="s">
        <v>132</v>
      </c>
      <c r="C21" s="135">
        <f>1.6*$J$3/$H$3</f>
        <v>7.6190476190476186</v>
      </c>
      <c r="D21" s="135">
        <f>1.5*$J$3/$H$3</f>
        <v>7.1428571428571423</v>
      </c>
      <c r="E21" s="135">
        <f>C21*D21</f>
        <v>54.42176870748299</v>
      </c>
      <c r="F21" s="134">
        <f>ROUNDUP(E21,-1)*0.2</f>
        <v>12</v>
      </c>
      <c r="G21" s="117"/>
      <c r="H21" s="117"/>
      <c r="I21" s="117"/>
      <c r="J21" s="117"/>
      <c r="K21" s="117"/>
      <c r="L21" s="117"/>
      <c r="M21" s="117"/>
      <c r="N21" s="117"/>
      <c r="O21" s="117"/>
    </row>
    <row r="22" spans="2:15">
      <c r="B22" s="134" t="s">
        <v>133</v>
      </c>
      <c r="C22" s="135">
        <f>1.6*$J$3/$H$3</f>
        <v>7.6190476190476186</v>
      </c>
      <c r="D22" s="135">
        <f>1.5*$J$3/$H$3</f>
        <v>7.1428571428571423</v>
      </c>
      <c r="E22" s="135">
        <f>C22*D22</f>
        <v>54.42176870748299</v>
      </c>
      <c r="F22" s="134">
        <f>ROUNDUP(E22,-1)*0.2</f>
        <v>12</v>
      </c>
      <c r="G22" s="117"/>
      <c r="H22" s="117"/>
      <c r="I22" s="117"/>
      <c r="J22" s="117"/>
      <c r="K22" s="117"/>
      <c r="L22" s="117"/>
      <c r="M22" s="117"/>
      <c r="N22" s="117"/>
      <c r="O22" s="117"/>
    </row>
    <row r="23" spans="2:15">
      <c r="B23" s="134" t="s">
        <v>134</v>
      </c>
      <c r="C23" s="135">
        <f>2.3*$J$3/$H$3</f>
        <v>10.952380952380953</v>
      </c>
      <c r="D23" s="135">
        <f>1.8*$J$3/$H$3</f>
        <v>8.5714285714285712</v>
      </c>
      <c r="E23" s="135">
        <f>C23*D23</f>
        <v>93.877551020408163</v>
      </c>
      <c r="F23" s="134">
        <f>ROUNDUP(E23,-1)*0.2</f>
        <v>20</v>
      </c>
      <c r="G23" s="117"/>
      <c r="H23" s="117"/>
      <c r="I23" s="117"/>
      <c r="J23" s="117"/>
      <c r="K23" s="117"/>
      <c r="L23" s="117"/>
      <c r="M23" s="117"/>
      <c r="N23" s="30"/>
      <c r="O23" s="30"/>
    </row>
    <row r="24" spans="2:15">
      <c r="B24" s="134" t="s">
        <v>135</v>
      </c>
      <c r="C24" s="135">
        <f>1.6*$J$3/$H$3</f>
        <v>7.6190476190476186</v>
      </c>
      <c r="D24" s="135">
        <f>1*$J$3/$H$3</f>
        <v>4.7619047619047619</v>
      </c>
      <c r="E24" s="135">
        <f>C24*D24</f>
        <v>36.281179138321995</v>
      </c>
      <c r="F24" s="134">
        <f>ROUNDUP(E24,-1)*0.2</f>
        <v>8</v>
      </c>
      <c r="G24" s="117"/>
      <c r="H24" s="117"/>
      <c r="I24" s="117"/>
      <c r="J24" s="117"/>
      <c r="K24" s="117"/>
      <c r="L24" s="117"/>
      <c r="M24" s="117"/>
      <c r="N24" s="30"/>
      <c r="O24" s="30"/>
    </row>
    <row r="25" spans="2:15">
      <c r="B25" s="197" t="s">
        <v>131</v>
      </c>
      <c r="C25" s="135">
        <f>1.7*$J$3/$H$3</f>
        <v>8.0952380952380949</v>
      </c>
      <c r="D25" s="135">
        <f>12*$J$3/$H$3</f>
        <v>57.142857142857139</v>
      </c>
      <c r="E25" s="198">
        <f>(C25*D25)+(C26*D26)</f>
        <v>1710.204081632653</v>
      </c>
      <c r="F25" s="204">
        <v>0</v>
      </c>
      <c r="G25" s="117"/>
      <c r="H25" s="117"/>
      <c r="I25" s="117"/>
      <c r="J25" s="117"/>
      <c r="K25" s="117"/>
      <c r="L25" s="117"/>
      <c r="M25" s="117"/>
      <c r="N25" s="30"/>
      <c r="O25" s="30"/>
    </row>
    <row r="26" spans="2:15">
      <c r="B26" s="197"/>
      <c r="C26" s="135">
        <f>4.2*$J$3/$H$3</f>
        <v>20</v>
      </c>
      <c r="D26" s="135">
        <f>13.1*$J$3/$H$3</f>
        <v>62.38095238095238</v>
      </c>
      <c r="E26" s="199"/>
      <c r="F26" s="205"/>
      <c r="G26" s="117"/>
      <c r="H26" s="117"/>
      <c r="I26" s="117"/>
      <c r="J26" s="117"/>
      <c r="K26" s="117"/>
      <c r="L26" s="117"/>
      <c r="M26" s="117"/>
      <c r="N26" s="30"/>
      <c r="O26" s="30"/>
    </row>
    <row r="27" spans="2:15">
      <c r="B27" s="117"/>
      <c r="C27" s="117"/>
      <c r="D27" s="117"/>
      <c r="E27" s="96" t="s">
        <v>103</v>
      </c>
      <c r="F27" s="97">
        <f>SUM(F21:F26)</f>
        <v>52</v>
      </c>
      <c r="G27" s="117"/>
      <c r="H27" s="117"/>
      <c r="I27" s="117"/>
      <c r="J27" s="117"/>
      <c r="K27" s="117"/>
      <c r="L27" s="117"/>
      <c r="M27" s="117"/>
      <c r="N27" s="30"/>
      <c r="O27" s="30"/>
    </row>
    <row r="28" spans="2:1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30"/>
      <c r="O28" s="30"/>
    </row>
    <row r="29" spans="2:1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30"/>
      <c r="O29" s="30"/>
    </row>
    <row r="30" spans="2:1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30"/>
      <c r="O30" s="30"/>
    </row>
    <row r="31" spans="2:1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30"/>
      <c r="O31" s="30"/>
    </row>
    <row r="32" spans="2:1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30"/>
      <c r="O32" s="117"/>
    </row>
    <row r="33" spans="14:15">
      <c r="N33" s="30"/>
      <c r="O33" s="117"/>
    </row>
    <row r="34" spans="14:15">
      <c r="N34" s="30"/>
      <c r="O34" s="117"/>
    </row>
    <row r="35" spans="14:15">
      <c r="N35" s="30"/>
      <c r="O35" s="117"/>
    </row>
    <row r="36" spans="14:15">
      <c r="N36" s="30"/>
      <c r="O36" s="117"/>
    </row>
    <row r="37" spans="14:15">
      <c r="N37" s="30"/>
      <c r="O37" s="117"/>
    </row>
    <row r="38" spans="14:15">
      <c r="N38" s="30"/>
      <c r="O38" s="117"/>
    </row>
    <row r="39" spans="14:15">
      <c r="N39" s="30"/>
      <c r="O39" s="117"/>
    </row>
    <row r="40" spans="14:15">
      <c r="N40" s="30"/>
      <c r="O40" s="117"/>
    </row>
    <row r="41" spans="14:15">
      <c r="N41" s="30"/>
      <c r="O41" s="30"/>
    </row>
    <row r="42" spans="14:15">
      <c r="N42" s="30"/>
      <c r="O42" s="30"/>
    </row>
    <row r="43" spans="14:15">
      <c r="N43" s="30"/>
      <c r="O43" s="30"/>
    </row>
    <row r="44" spans="14:15">
      <c r="N44" s="30"/>
      <c r="O44" s="30"/>
    </row>
    <row r="45" spans="14:15">
      <c r="N45" s="30"/>
      <c r="O45" s="30"/>
    </row>
    <row r="46" spans="14:15">
      <c r="N46" s="30"/>
      <c r="O46" s="30"/>
    </row>
    <row r="47" spans="14:15">
      <c r="N47" s="30"/>
      <c r="O47" s="30"/>
    </row>
    <row r="48" spans="14:15">
      <c r="N48" s="30"/>
      <c r="O48" s="30"/>
    </row>
    <row r="49" spans="14:15">
      <c r="N49" s="30"/>
      <c r="O49" s="30"/>
    </row>
    <row r="50" spans="14:15">
      <c r="N50" s="30"/>
      <c r="O50" s="30"/>
    </row>
    <row r="51" spans="14:15">
      <c r="N51" s="30"/>
      <c r="O51" s="30"/>
    </row>
    <row r="52" spans="14:15">
      <c r="N52" s="30"/>
      <c r="O52" s="30"/>
    </row>
    <row r="53" spans="14:15">
      <c r="N53" s="30"/>
      <c r="O53" s="30"/>
    </row>
    <row r="54" spans="14:15">
      <c r="N54" s="30"/>
      <c r="O54" s="30"/>
    </row>
    <row r="55" spans="14:15">
      <c r="N55" s="30"/>
      <c r="O55" s="30"/>
    </row>
    <row r="56" spans="14:15">
      <c r="N56" s="30"/>
      <c r="O56" s="30"/>
    </row>
    <row r="57" spans="14:15">
      <c r="N57" s="30"/>
      <c r="O57" s="30"/>
    </row>
    <row r="58" spans="14:15">
      <c r="N58" s="30"/>
      <c r="O58" s="30"/>
    </row>
    <row r="59" spans="14:15">
      <c r="N59" s="30"/>
      <c r="O59" s="30"/>
    </row>
    <row r="60" spans="14:15">
      <c r="N60" s="30"/>
      <c r="O60" s="30"/>
    </row>
    <row r="61" spans="14:15">
      <c r="N61" s="30"/>
      <c r="O61" s="30"/>
    </row>
    <row r="62" spans="14:15">
      <c r="N62" s="30"/>
      <c r="O62" s="30"/>
    </row>
    <row r="63" spans="14:15">
      <c r="N63" s="30"/>
      <c r="O63" s="30"/>
    </row>
    <row r="64" spans="14:15">
      <c r="N64" s="30"/>
      <c r="O64" s="30"/>
    </row>
    <row r="65" spans="14:15">
      <c r="N65" s="30"/>
      <c r="O65" s="30"/>
    </row>
    <row r="66" spans="14:15">
      <c r="N66" s="30"/>
      <c r="O66" s="30"/>
    </row>
    <row r="67" spans="14:15">
      <c r="N67" s="30"/>
      <c r="O67" s="30"/>
    </row>
    <row r="68" spans="14:15">
      <c r="N68" s="30"/>
      <c r="O68" s="30"/>
    </row>
    <row r="69" spans="14:15">
      <c r="N69" s="30"/>
      <c r="O69" s="30"/>
    </row>
    <row r="70" spans="14:15">
      <c r="N70" s="30"/>
      <c r="O70" s="30"/>
    </row>
    <row r="71" spans="14:15">
      <c r="N71" s="30"/>
      <c r="O71" s="30"/>
    </row>
    <row r="72" spans="14:15">
      <c r="N72" s="30"/>
      <c r="O72" s="30"/>
    </row>
    <row r="73" spans="14:15">
      <c r="N73" s="30"/>
      <c r="O73" s="30"/>
    </row>
    <row r="74" spans="14:15">
      <c r="N74" s="30"/>
      <c r="O74" s="30"/>
    </row>
    <row r="75" spans="14:15">
      <c r="N75" s="30"/>
      <c r="O75" s="30"/>
    </row>
    <row r="76" spans="14:15">
      <c r="N76" s="30"/>
      <c r="O76" s="30"/>
    </row>
    <row r="77" spans="14:15">
      <c r="N77" s="30"/>
      <c r="O77" s="30"/>
    </row>
    <row r="78" spans="14:15">
      <c r="N78" s="30"/>
      <c r="O78" s="30"/>
    </row>
    <row r="79" spans="14:15">
      <c r="N79" s="30"/>
      <c r="O79" s="30"/>
    </row>
    <row r="80" spans="14:15">
      <c r="N80" s="30"/>
      <c r="O80" s="30"/>
    </row>
    <row r="81" spans="14:15">
      <c r="N81" s="30"/>
      <c r="O81" s="30"/>
    </row>
    <row r="82" spans="14:15">
      <c r="N82" s="30"/>
      <c r="O82" s="30"/>
    </row>
    <row r="83" spans="14:15">
      <c r="N83" s="30"/>
      <c r="O83" s="30"/>
    </row>
    <row r="84" spans="14:15">
      <c r="N84" s="30"/>
      <c r="O84" s="30"/>
    </row>
    <row r="85" spans="14:15">
      <c r="N85" s="30"/>
      <c r="O85" s="30"/>
    </row>
    <row r="86" spans="14:15">
      <c r="N86" s="30"/>
      <c r="O86" s="30"/>
    </row>
    <row r="87" spans="14:15">
      <c r="N87" s="30"/>
      <c r="O87" s="30"/>
    </row>
    <row r="88" spans="14:15">
      <c r="N88" s="30"/>
      <c r="O88" s="30"/>
    </row>
  </sheetData>
  <mergeCells count="10">
    <mergeCell ref="H2:K2"/>
    <mergeCell ref="B12:B13"/>
    <mergeCell ref="E12:E13"/>
    <mergeCell ref="B25:B26"/>
    <mergeCell ref="E25:E26"/>
    <mergeCell ref="B18:F19"/>
    <mergeCell ref="B5:F6"/>
    <mergeCell ref="A1:F2"/>
    <mergeCell ref="F12:F13"/>
    <mergeCell ref="F25:F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51C1-7506-42CC-94EF-2AA90A79CDCB}">
  <dimension ref="A1:I27"/>
  <sheetViews>
    <sheetView tabSelected="1" topLeftCell="A10" workbookViewId="0">
      <selection activeCell="D14" sqref="D14"/>
    </sheetView>
  </sheetViews>
  <sheetFormatPr defaultRowHeight="14.45"/>
  <cols>
    <col min="2" max="2" width="11.42578125" bestFit="1" customWidth="1"/>
    <col min="3" max="3" width="12.85546875" bestFit="1" customWidth="1"/>
    <col min="4" max="4" width="21.5703125" bestFit="1" customWidth="1"/>
  </cols>
  <sheetData>
    <row r="1" spans="1:9" ht="15">
      <c r="A1" s="117"/>
      <c r="B1" s="117"/>
      <c r="C1" s="117"/>
      <c r="D1" s="117"/>
      <c r="E1" s="117"/>
      <c r="F1" s="117"/>
      <c r="G1" s="117"/>
      <c r="H1" s="117"/>
      <c r="I1" s="117"/>
    </row>
    <row r="2" spans="1:9" ht="18.75">
      <c r="A2" s="117"/>
      <c r="B2" s="117"/>
      <c r="C2" s="117"/>
      <c r="D2" s="117"/>
      <c r="E2" s="117"/>
      <c r="F2" s="117"/>
      <c r="G2" s="206" t="s">
        <v>136</v>
      </c>
      <c r="H2" s="206"/>
      <c r="I2" s="206"/>
    </row>
    <row r="3" spans="1:9" ht="14.45" customHeight="1">
      <c r="A3" s="117"/>
      <c r="B3" s="160" t="s">
        <v>137</v>
      </c>
      <c r="C3" s="160"/>
      <c r="D3" s="160"/>
      <c r="E3" s="117"/>
      <c r="F3" s="117"/>
      <c r="G3" s="117"/>
      <c r="H3" s="117"/>
      <c r="I3" s="117"/>
    </row>
    <row r="4" spans="1:9" ht="15">
      <c r="A4" s="117"/>
      <c r="B4" s="117"/>
      <c r="C4" s="117"/>
      <c r="D4" s="117"/>
      <c r="E4" s="117"/>
      <c r="F4" s="117"/>
      <c r="G4" s="117"/>
      <c r="H4" s="117"/>
      <c r="I4" s="117"/>
    </row>
    <row r="5" spans="1:9">
      <c r="A5" s="117"/>
      <c r="B5" s="117"/>
      <c r="C5" s="117"/>
      <c r="D5" s="117"/>
      <c r="E5" s="117"/>
      <c r="F5" s="117"/>
      <c r="G5" s="117"/>
      <c r="H5" s="117"/>
      <c r="I5" s="117"/>
    </row>
    <row r="6" spans="1:9" ht="15">
      <c r="A6" s="117"/>
      <c r="B6" s="122" t="s">
        <v>59</v>
      </c>
      <c r="C6" s="122" t="s">
        <v>60</v>
      </c>
      <c r="D6" s="122" t="s">
        <v>138</v>
      </c>
      <c r="E6" s="117"/>
      <c r="F6" s="117"/>
      <c r="G6" s="117"/>
      <c r="H6" s="117"/>
      <c r="I6" s="117"/>
    </row>
    <row r="7" spans="1:9" ht="15">
      <c r="A7" s="117"/>
      <c r="B7" s="122">
        <v>50.1</v>
      </c>
      <c r="C7" s="123" t="s">
        <v>139</v>
      </c>
      <c r="D7" s="124">
        <v>10</v>
      </c>
      <c r="E7" s="117"/>
      <c r="F7" s="117"/>
      <c r="G7" s="117"/>
      <c r="H7" s="117"/>
      <c r="I7" s="117"/>
    </row>
    <row r="8" spans="1:9" ht="15">
      <c r="A8" s="117"/>
      <c r="B8" s="122">
        <v>50.2</v>
      </c>
      <c r="C8" s="123" t="s">
        <v>139</v>
      </c>
      <c r="D8" s="125">
        <v>10</v>
      </c>
      <c r="E8" s="117"/>
      <c r="F8" s="117"/>
      <c r="G8" s="117"/>
      <c r="H8" s="117"/>
      <c r="I8" s="117"/>
    </row>
    <row r="9" spans="1:9" ht="15">
      <c r="A9" s="117"/>
      <c r="B9" s="122">
        <v>50.3</v>
      </c>
      <c r="C9" s="123" t="s">
        <v>139</v>
      </c>
      <c r="D9" s="125">
        <v>10</v>
      </c>
      <c r="E9" s="117"/>
      <c r="F9" s="117"/>
      <c r="G9" s="117"/>
      <c r="H9" s="117"/>
      <c r="I9" s="117"/>
    </row>
    <row r="10" spans="1:9" ht="15">
      <c r="A10" s="117"/>
      <c r="B10" s="122">
        <v>50.4</v>
      </c>
      <c r="C10" s="123" t="s">
        <v>140</v>
      </c>
      <c r="D10" s="125">
        <v>10</v>
      </c>
      <c r="E10" s="117"/>
      <c r="F10" s="117"/>
      <c r="G10" s="117"/>
      <c r="H10" s="117"/>
      <c r="I10" s="117"/>
    </row>
    <row r="11" spans="1:9" ht="15">
      <c r="A11" s="117"/>
      <c r="B11" s="122">
        <v>50.5</v>
      </c>
      <c r="C11" s="123">
        <v>36</v>
      </c>
      <c r="D11" s="125">
        <v>8</v>
      </c>
      <c r="E11" s="117"/>
      <c r="F11" s="117"/>
      <c r="G11" s="117"/>
      <c r="H11" s="117"/>
      <c r="I11" s="117"/>
    </row>
    <row r="12" spans="1:9" ht="15">
      <c r="A12" s="117"/>
      <c r="B12" s="122" t="s">
        <v>141</v>
      </c>
      <c r="C12" s="126" t="s">
        <v>142</v>
      </c>
      <c r="D12" s="127">
        <v>332</v>
      </c>
      <c r="E12" s="117"/>
      <c r="F12" s="117"/>
      <c r="G12" s="117"/>
      <c r="H12" s="117"/>
      <c r="I12" s="117"/>
    </row>
    <row r="13" spans="1:9" ht="15">
      <c r="A13" s="117"/>
      <c r="B13" s="117"/>
      <c r="C13" s="125" t="s">
        <v>143</v>
      </c>
      <c r="D13" s="125">
        <v>380</v>
      </c>
      <c r="E13" s="117"/>
      <c r="F13" s="117"/>
      <c r="G13" s="117"/>
      <c r="H13" s="117"/>
      <c r="I13" s="117"/>
    </row>
    <row r="14" spans="1:9" ht="15">
      <c r="A14" s="117"/>
      <c r="B14" s="117"/>
      <c r="C14" s="117"/>
      <c r="D14" s="117"/>
      <c r="E14" s="117"/>
      <c r="F14" s="117"/>
      <c r="G14" s="117"/>
      <c r="H14" s="117"/>
      <c r="I14" s="117"/>
    </row>
    <row r="20" spans="2:5" ht="15">
      <c r="B20" s="122" t="s">
        <v>59</v>
      </c>
      <c r="C20" s="122" t="s">
        <v>60</v>
      </c>
      <c r="D20" s="122" t="s">
        <v>138</v>
      </c>
      <c r="E20" s="117"/>
    </row>
    <row r="21" spans="2:5" ht="15">
      <c r="B21" s="122">
        <v>51.1</v>
      </c>
      <c r="C21" s="123" t="s">
        <v>139</v>
      </c>
      <c r="D21" s="124">
        <v>10</v>
      </c>
      <c r="E21" s="117"/>
    </row>
    <row r="22" spans="2:5" ht="15">
      <c r="B22" s="122">
        <v>51.2</v>
      </c>
      <c r="C22" s="123" t="s">
        <v>139</v>
      </c>
      <c r="D22" s="125">
        <v>10</v>
      </c>
      <c r="E22" s="117"/>
    </row>
    <row r="23" spans="2:5" ht="15">
      <c r="B23" s="122">
        <v>51.3</v>
      </c>
      <c r="C23" s="123" t="s">
        <v>139</v>
      </c>
      <c r="D23" s="125">
        <v>14</v>
      </c>
      <c r="E23" s="117"/>
    </row>
    <row r="24" spans="2:5" ht="15">
      <c r="B24" s="122">
        <v>51.4</v>
      </c>
      <c r="C24" s="123" t="s">
        <v>140</v>
      </c>
      <c r="D24" s="125">
        <v>18</v>
      </c>
      <c r="E24" s="117"/>
    </row>
    <row r="25" spans="2:5" ht="15">
      <c r="B25" s="122">
        <v>51.5</v>
      </c>
      <c r="C25" s="126">
        <v>36</v>
      </c>
      <c r="D25" s="127">
        <v>16</v>
      </c>
      <c r="E25" s="117"/>
    </row>
    <row r="26" spans="2:5">
      <c r="B26" s="117"/>
      <c r="C26" s="125" t="s">
        <v>143</v>
      </c>
      <c r="D26" s="125">
        <v>68</v>
      </c>
      <c r="E26" s="117"/>
    </row>
    <row r="27" spans="2:5">
      <c r="B27" s="117"/>
      <c r="C27" s="117"/>
      <c r="D27" s="117"/>
      <c r="E27" s="117"/>
    </row>
  </sheetData>
  <mergeCells count="2">
    <mergeCell ref="B3:D3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/>
  <cp:revision/>
  <dcterms:created xsi:type="dcterms:W3CDTF">2021-03-13T15:57:07Z</dcterms:created>
  <dcterms:modified xsi:type="dcterms:W3CDTF">2021-03-28T15:36:06Z</dcterms:modified>
  <cp:category/>
  <cp:contentStatus/>
</cp:coreProperties>
</file>