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<sst xmlns="http://schemas.openxmlformats.org/spreadsheetml/2006/main" count="176" uniqueCount="58">
  <si>
    <t>Physical Machine (HP Slim Desktop S01-pF4012d with RAM upgrade)</t>
  </si>
  <si>
    <t>Year</t>
  </si>
  <si>
    <t>CapEx</t>
  </si>
  <si>
    <t>OpEx (electricity)
running 24/7</t>
  </si>
  <si>
    <t>OpEx (electricity)
8AM to 5PM (9 hrs)</t>
  </si>
  <si>
    <t>Cumulative Cost
running 24/7</t>
  </si>
  <si>
    <t>Cumulative Cost
8AM to 5PM (9 hrs)</t>
  </si>
  <si>
    <t>₱46,189.00</t>
  </si>
  <si>
    <t>₱18,934.56</t>
  </si>
  <si>
    <t>₱7100.46</t>
  </si>
  <si>
    <t>₱65,123.56</t>
  </si>
  <si>
    <t>₱53,289.46</t>
  </si>
  <si>
    <t>₱0</t>
  </si>
  <si>
    <t>₱84,058.12</t>
  </si>
  <si>
    <t>₱60,389.92</t>
  </si>
  <si>
    <t>1 Year Cost (Running 24/7)</t>
  </si>
  <si>
    <t>1 Year Cost (Running 8AM to 5PM)</t>
  </si>
  <si>
    <t>₱102,992.68</t>
  </si>
  <si>
    <t>₱67,490.38</t>
  </si>
  <si>
    <t xml:space="preserve">Physical Machine </t>
  </si>
  <si>
    <t>AWS (On-Demand)</t>
  </si>
  <si>
    <t>Cost Estimates of Cloud Machine running 24/7</t>
  </si>
  <si>
    <t>Cost Estimates of Cloud Machine running from 8AM to 5PM (9 hours) daily</t>
  </si>
  <si>
    <t>Azure (On-Demand)</t>
  </si>
  <si>
    <t>Provider</t>
  </si>
  <si>
    <t>Instance Type</t>
  </si>
  <si>
    <t>Region</t>
  </si>
  <si>
    <t>Pricing Option</t>
  </si>
  <si>
    <t>Monthly Cost (USD)</t>
  </si>
  <si>
    <t>Monthly Cost (PHP)</t>
  </si>
  <si>
    <t>Yearly Cost (PHP)</t>
  </si>
  <si>
    <t>Google Cloud (On-Demand)</t>
  </si>
  <si>
    <t>AWS</t>
  </si>
  <si>
    <t>m6a.2xlarge</t>
  </si>
  <si>
    <t>Asia Pacific (Singapore)</t>
  </si>
  <si>
    <t>On-Demand</t>
  </si>
  <si>
    <t>RI 1Y No Upfront</t>
  </si>
  <si>
    <t>RI 1Y Partial Upfront</t>
  </si>
  <si>
    <t>RI 1Y All Upfront</t>
  </si>
  <si>
    <t>RI 3Y No Upfront</t>
  </si>
  <si>
    <t>RI 3Y Partial Upfront</t>
  </si>
  <si>
    <t>RI 3Y All Upfront</t>
  </si>
  <si>
    <t>Azure</t>
  </si>
  <si>
    <t>D8a v4</t>
  </si>
  <si>
    <t>Southeast Asia</t>
  </si>
  <si>
    <t>Google Cloud</t>
  </si>
  <si>
    <t>n4-standard-8</t>
  </si>
  <si>
    <t>Singapore</t>
  </si>
  <si>
    <t>CUD 1Y</t>
  </si>
  <si>
    <t>CUD 3Y</t>
  </si>
  <si>
    <t>Estimated Cost over time for 3 year period (running 8AM to 5PM)</t>
  </si>
  <si>
    <t>Physical Machine</t>
  </si>
  <si>
    <t>AWS (3Y AURI)</t>
  </si>
  <si>
    <t>Azure (3Y AURI)</t>
  </si>
  <si>
    <t>Google Cloud (3Y CUD)</t>
  </si>
  <si>
    <t>Year 1</t>
  </si>
  <si>
    <t>Year 2</t>
  </si>
  <si>
    <t>Year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</si>
</sst>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₱]#,##0.00"/>
    <numFmt numFmtId="165" formatCode="&quot;$&quot;#,##0.00"/>
  </numFmts>
  <fonts count="8">
    <font>
      <sz val="10.0"/>
      <color rgb="FF000000"/>
      <name val="Arial"/>
      <scheme val="minor"/>
    </font>
    <font>
      <sz val="8.0"/>
      <color rgb="FF000000"/>
      <name val="Arial"/>
    </font>
    <font/>
    <font>
      <b/>
      <sz val="8.0"/>
      <color rgb="FF000000"/>
      <name val="Arial"/>
    </font>
    <font>
      <sz val="8.0"/>
      <color rgb="FF0000FF"/>
      <name val="Arial"/>
    </font>
    <font>
      <sz val="8.0"/>
      <color rgb="FFFF0000"/>
      <name val="Arial"/>
    </font>
    <font>
      <color theme="1"/>
      <name val="Arial"/>
      <scheme val="minor"/>
    </font>
    <font>
      <b/>
      <sz val="8.0"/>
      <color theme="1"/>
      <name val="Arial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 readingOrder="0" shrinkToFit="0" wrapText="1"/>
    </xf>
    <xf borderId="4" fillId="0" fontId="1" numFmtId="0" xfId="0" applyAlignment="1" applyBorder="1" applyFont="1">
      <alignment horizontal="left"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164" xfId="0" applyFont="1" applyNumberFormat="1"/>
    <xf borderId="0" fillId="0" fontId="3" numFmtId="0" xfId="0" applyAlignment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1" numFmtId="165" xfId="0" applyAlignment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Year Cost (Running 24/7)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Sheet1!$V$4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Sheet1!$U$5:$U$8</c:f>
            </c:strRef>
          </c:cat>
          <c:val>
            <c:numRef>
              <c:f>Sheet1!$V$5:$V$8</c:f>
              <c:numCache/>
            </c:numRef>
          </c:val>
        </c:ser>
        <c:axId val="951218872"/>
        <c:axId val="1393449275"/>
      </c:barChart>
      <c:catAx>
        <c:axId val="95121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449275"/>
      </c:catAx>
      <c:valAx>
        <c:axId val="1393449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218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Year Cost (Running 8AM to 5PM)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Sheet1!$Y$4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Sheet1!$X$5:$X$8</c:f>
            </c:strRef>
          </c:cat>
          <c:val>
            <c:numRef>
              <c:f>Sheet1!$Y$5:$Y$8</c:f>
              <c:numCache/>
            </c:numRef>
          </c:val>
        </c:ser>
        <c:axId val="1827957810"/>
        <c:axId val="710728931"/>
      </c:barChart>
      <c:catAx>
        <c:axId val="1827957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28931"/>
      </c:catAx>
      <c:valAx>
        <c:axId val="710728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957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Estimated Cost over time for 3 year period (running 8AM to 5PM)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Sheet1!$U$31:$U$32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Sheet1!$T$33:$T$35</c:f>
            </c:strRef>
          </c:cat>
          <c:val>
            <c:numRef>
              <c:f>Sheet1!$U$33:$U$35</c:f>
              <c:numCache/>
            </c:numRef>
          </c:val>
          <c:smooth val="0"/>
        </c:ser>
        <c:ser>
          <c:idx val="1"/>
          <c:order val="1"/>
          <c:tx>
            <c:strRef>
              <c:f>Sheet1!$V$31:$V$32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Sheet1!$T$33:$T$35</c:f>
            </c:strRef>
          </c:cat>
          <c:val>
            <c:numRef>
              <c:f>Sheet1!$V$33:$V$35</c:f>
              <c:numCache/>
            </c:numRef>
          </c:val>
          <c:smooth val="0"/>
        </c:ser>
        <c:ser>
          <c:idx val="2"/>
          <c:order val="2"/>
          <c:tx>
            <c:strRef>
              <c:f>Sheet1!$W$31:$W$32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Sheet1!$T$33:$T$35</c:f>
            </c:strRef>
          </c:cat>
          <c:val>
            <c:numRef>
              <c:f>Sheet1!$W$33:$W$35</c:f>
              <c:numCache/>
            </c:numRef>
          </c:val>
          <c:smooth val="0"/>
        </c:ser>
        <c:ser>
          <c:idx val="3"/>
          <c:order val="3"/>
          <c:tx>
            <c:strRef>
              <c:f>Sheet1!$X$31:$X$32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Sheet1!$T$33:$T$35</c:f>
            </c:strRef>
          </c:cat>
          <c:val>
            <c:numRef>
              <c:f>Sheet1!$X$33:$X$35</c:f>
              <c:numCache/>
            </c:numRef>
          </c:val>
          <c:smooth val="0"/>
        </c:ser>
        <c:axId val="1954999356"/>
        <c:axId val="808882223"/>
      </c:lineChart>
      <c:catAx>
        <c:axId val="195499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882223"/>
      </c:catAx>
      <c:valAx>
        <c:axId val="808882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99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914400</xdr:colOff>
      <xdr:row>11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38100</xdr:colOff>
      <xdr:row>11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19050</xdr:colOff>
      <xdr:row>35</xdr:row>
      <xdr:rowOff>180975</xdr:rowOff>
    </xdr:from>
    <xdr:ext cx="62960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>
      <c r="A3" s="5">
        <v>1.0</v>
      </c>
      <c r="B3" s="5" t="s">
        <v>7</v>
      </c>
      <c r="C3" s="6" t="s">
        <v>8</v>
      </c>
      <c r="D3" s="7" t="s">
        <v>9</v>
      </c>
      <c r="E3" s="6" t="s">
        <v>10</v>
      </c>
      <c r="F3" s="7" t="s">
        <v>11</v>
      </c>
    </row>
    <row r="4">
      <c r="A4" s="5">
        <v>2.0</v>
      </c>
      <c r="B4" s="5" t="s">
        <v>12</v>
      </c>
      <c r="C4" s="6" t="s">
        <v>8</v>
      </c>
      <c r="D4" s="7" t="s">
        <v>9</v>
      </c>
      <c r="E4" s="6" t="s">
        <v>13</v>
      </c>
      <c r="F4" s="7" t="s">
        <v>14</v>
      </c>
      <c r="V4" s="8" t="s">
        <v>15</v>
      </c>
      <c r="Y4" s="8" t="s">
        <v>16</v>
      </c>
    </row>
    <row r="5">
      <c r="A5" s="5">
        <v>3.0</v>
      </c>
      <c r="B5" s="5" t="s">
        <v>12</v>
      </c>
      <c r="C5" s="6" t="s">
        <v>8</v>
      </c>
      <c r="D5" s="7" t="s">
        <v>9</v>
      </c>
      <c r="E5" s="6" t="s">
        <v>17</v>
      </c>
      <c r="F5" s="7" t="s">
        <v>18</v>
      </c>
      <c r="U5" s="8" t="s">
        <v>19</v>
      </c>
      <c r="V5" s="9">
        <v>65123.56</v>
      </c>
      <c r="X5" s="8" t="s">
        <v>19</v>
      </c>
      <c r="Y5" s="9">
        <v>53289.46</v>
      </c>
      <c r="Z5" s="9"/>
    </row>
    <row r="6">
      <c r="U6" s="8" t="s">
        <v>20</v>
      </c>
      <c r="V6" s="10">
        <v>280548.66842112003</v>
      </c>
      <c r="X6" s="8" t="s">
        <v>20</v>
      </c>
      <c r="Y6" s="10">
        <v>103768.01333183999</v>
      </c>
      <c r="Z6" s="10"/>
    </row>
    <row r="7">
      <c r="A7" s="8" t="s">
        <v>21</v>
      </c>
      <c r="H7" s="8"/>
      <c r="I7" s="8" t="s">
        <v>22</v>
      </c>
      <c r="U7" s="8" t="s">
        <v>23</v>
      </c>
      <c r="V7" s="10">
        <v>447597.46944</v>
      </c>
      <c r="X7" s="8" t="s">
        <v>23</v>
      </c>
      <c r="Y7" s="10">
        <v>183053.80144128</v>
      </c>
      <c r="Z7" s="10"/>
    </row>
    <row r="8">
      <c r="A8" s="11" t="s">
        <v>24</v>
      </c>
      <c r="B8" s="11" t="s">
        <v>25</v>
      </c>
      <c r="C8" s="11" t="s">
        <v>26</v>
      </c>
      <c r="D8" s="11" t="s">
        <v>27</v>
      </c>
      <c r="E8" s="12" t="s">
        <v>28</v>
      </c>
      <c r="F8" s="13" t="s">
        <v>29</v>
      </c>
      <c r="G8" s="13" t="s">
        <v>30</v>
      </c>
      <c r="H8" s="11"/>
      <c r="I8" s="11" t="s">
        <v>24</v>
      </c>
      <c r="J8" s="11" t="s">
        <v>25</v>
      </c>
      <c r="K8" s="11" t="s">
        <v>26</v>
      </c>
      <c r="L8" s="11" t="s">
        <v>27</v>
      </c>
      <c r="M8" s="12" t="s">
        <v>28</v>
      </c>
      <c r="N8" s="13" t="s">
        <v>29</v>
      </c>
      <c r="O8" s="13" t="s">
        <v>30</v>
      </c>
      <c r="U8" s="8" t="s">
        <v>31</v>
      </c>
      <c r="V8" s="10">
        <v>299591.90621184</v>
      </c>
      <c r="X8" s="8" t="s">
        <v>31</v>
      </c>
      <c r="Y8" s="10">
        <v>153695.47651392</v>
      </c>
      <c r="Z8" s="10"/>
    </row>
    <row r="9">
      <c r="A9" s="14" t="s">
        <v>32</v>
      </c>
      <c r="B9" s="14" t="s">
        <v>33</v>
      </c>
      <c r="C9" s="14" t="s">
        <v>34</v>
      </c>
      <c r="D9" s="14" t="s">
        <v>35</v>
      </c>
      <c r="E9" s="15">
        <v>413.68</v>
      </c>
      <c r="F9" s="10">
        <f>IFERROR(__xludf.DUMMYFUNCTION("E9*GOOGLEFINANCE(""Currency:USDPHP"")"),23584.827662736)</f>
        <v>23584.82766</v>
      </c>
      <c r="G9" s="10">
        <f t="shared" ref="G9:G23" si="1">F9*12</f>
        <v>283017.932</v>
      </c>
      <c r="H9" s="14"/>
      <c r="I9" s="14" t="s">
        <v>32</v>
      </c>
      <c r="J9" s="14" t="s">
        <v>33</v>
      </c>
      <c r="K9" s="14" t="s">
        <v>34</v>
      </c>
      <c r="L9" s="14" t="s">
        <v>35</v>
      </c>
      <c r="M9" s="15">
        <v>153.01</v>
      </c>
      <c r="N9" s="10">
        <f>IFERROR(__xludf.DUMMYFUNCTION("M9*GOOGLEFINANCE(""CURRENCY:USDPHP"")"),8723.444403102)</f>
        <v>8723.444403</v>
      </c>
      <c r="O9" s="10">
        <f t="shared" ref="O9:O23" si="2">N9*12</f>
        <v>104681.3328</v>
      </c>
      <c r="V9" s="10"/>
      <c r="Z9" s="10"/>
    </row>
    <row r="10">
      <c r="A10" s="14" t="s">
        <v>32</v>
      </c>
      <c r="B10" s="14" t="s">
        <v>33</v>
      </c>
      <c r="C10" s="14" t="s">
        <v>34</v>
      </c>
      <c r="D10" s="14" t="s">
        <v>36</v>
      </c>
      <c r="E10" s="15">
        <v>248.8</v>
      </c>
      <c r="F10" s="10">
        <f>IFERROR(__xludf.DUMMYFUNCTION("E10*GOOGLEFINANCE(""Currency:USDPHP"")"),14184.64784976)</f>
        <v>14184.64785</v>
      </c>
      <c r="G10" s="10">
        <f t="shared" si="1"/>
        <v>170215.7742</v>
      </c>
      <c r="H10" s="14"/>
      <c r="I10" s="14" t="s">
        <v>32</v>
      </c>
      <c r="J10" s="14" t="s">
        <v>33</v>
      </c>
      <c r="K10" s="14" t="s">
        <v>34</v>
      </c>
      <c r="L10" s="14" t="s">
        <v>36</v>
      </c>
      <c r="M10" s="15">
        <v>248.8</v>
      </c>
      <c r="N10" s="10">
        <f>IFERROR(__xludf.DUMMYFUNCTION("M10*GOOGLEFINANCE(""CURRENCY:USDPHP"")"),14184.64784976)</f>
        <v>14184.64785</v>
      </c>
      <c r="O10" s="10">
        <f t="shared" si="2"/>
        <v>170215.7742</v>
      </c>
      <c r="V10" s="10"/>
      <c r="Z10" s="10"/>
    </row>
    <row r="11">
      <c r="A11" s="14" t="s">
        <v>32</v>
      </c>
      <c r="B11" s="14" t="s">
        <v>33</v>
      </c>
      <c r="C11" s="14" t="s">
        <v>34</v>
      </c>
      <c r="D11" s="14" t="s">
        <v>37</v>
      </c>
      <c r="E11" s="15">
        <v>197.64</v>
      </c>
      <c r="F11" s="10">
        <f>IFERROR(__xludf.DUMMYFUNCTION("E11*GOOGLEFINANCE(""Currency:USDPHP"")"),11267.901129527998)</f>
        <v>11267.90113</v>
      </c>
      <c r="G11" s="10">
        <f t="shared" si="1"/>
        <v>135214.8136</v>
      </c>
      <c r="H11" s="14"/>
      <c r="I11" s="14" t="s">
        <v>32</v>
      </c>
      <c r="J11" s="14" t="s">
        <v>33</v>
      </c>
      <c r="K11" s="14" t="s">
        <v>34</v>
      </c>
      <c r="L11" s="14" t="s">
        <v>37</v>
      </c>
      <c r="M11" s="15">
        <v>197.64</v>
      </c>
      <c r="N11" s="10">
        <f>IFERROR(__xludf.DUMMYFUNCTION("M11*GOOGLEFINANCE(""CURRENCY:USDPHP"")"),11267.901129527998)</f>
        <v>11267.90113</v>
      </c>
      <c r="O11" s="10">
        <f t="shared" si="2"/>
        <v>135214.8136</v>
      </c>
      <c r="V11" s="10"/>
      <c r="Z11" s="10"/>
    </row>
    <row r="12">
      <c r="A12" s="14" t="s">
        <v>32</v>
      </c>
      <c r="B12" s="14" t="s">
        <v>33</v>
      </c>
      <c r="C12" s="14" t="s">
        <v>34</v>
      </c>
      <c r="D12" s="14" t="s">
        <v>38</v>
      </c>
      <c r="E12" s="15">
        <v>98.3</v>
      </c>
      <c r="F12" s="10">
        <f>IFERROR(__xludf.DUMMYFUNCTION("E12*GOOGLEFINANCE(""Currency:USDPHP"")"),5604.30419466)</f>
        <v>5604.304195</v>
      </c>
      <c r="G12" s="10">
        <f t="shared" si="1"/>
        <v>67251.65034</v>
      </c>
      <c r="H12" s="14"/>
      <c r="I12" s="14" t="s">
        <v>32</v>
      </c>
      <c r="J12" s="14" t="s">
        <v>33</v>
      </c>
      <c r="K12" s="14" t="s">
        <v>34</v>
      </c>
      <c r="L12" s="14" t="s">
        <v>38</v>
      </c>
      <c r="M12" s="15">
        <v>98.3</v>
      </c>
      <c r="N12" s="10">
        <f>IFERROR(__xludf.DUMMYFUNCTION("M12*GOOGLEFINANCE(""CURRENCY:USDPHP"")"),5604.30419466)</f>
        <v>5604.304195</v>
      </c>
      <c r="O12" s="10">
        <f t="shared" si="2"/>
        <v>67251.65034</v>
      </c>
    </row>
    <row r="13">
      <c r="A13" s="14" t="s">
        <v>32</v>
      </c>
      <c r="B13" s="14" t="s">
        <v>33</v>
      </c>
      <c r="C13" s="14" t="s">
        <v>34</v>
      </c>
      <c r="D13" s="14" t="s">
        <v>39</v>
      </c>
      <c r="E13" s="15">
        <v>241.35</v>
      </c>
      <c r="F13" s="10">
        <f>IFERROR(__xludf.DUMMYFUNCTION("E13*GOOGLEFINANCE(""Currency:USDPHP"")"),13759.906585769999)</f>
        <v>13759.90659</v>
      </c>
      <c r="G13" s="10">
        <f t="shared" si="1"/>
        <v>165118.879</v>
      </c>
      <c r="H13" s="14"/>
      <c r="I13" s="14" t="s">
        <v>32</v>
      </c>
      <c r="J13" s="14" t="s">
        <v>33</v>
      </c>
      <c r="K13" s="14" t="s">
        <v>34</v>
      </c>
      <c r="L13" s="14" t="s">
        <v>39</v>
      </c>
      <c r="M13" s="15">
        <v>241.35</v>
      </c>
      <c r="N13" s="10">
        <f>IFERROR(__xludf.DUMMYFUNCTION("M13*GOOGLEFINANCE(""CURRENCY:USDPHP"")"),13759.906585769999)</f>
        <v>13759.90659</v>
      </c>
      <c r="O13" s="10">
        <f t="shared" si="2"/>
        <v>165118.879</v>
      </c>
    </row>
    <row r="14">
      <c r="A14" s="14" t="s">
        <v>32</v>
      </c>
      <c r="B14" s="14" t="s">
        <v>33</v>
      </c>
      <c r="C14" s="14" t="s">
        <v>34</v>
      </c>
      <c r="D14" s="14" t="s">
        <v>40</v>
      </c>
      <c r="E14" s="15">
        <v>164.53</v>
      </c>
      <c r="F14" s="10">
        <f>IFERROR(__xludf.DUMMYFUNCTION("E14*GOOGLEFINANCE(""Currency:USDPHP"")"),9380.225525406)</f>
        <v>9380.225525</v>
      </c>
      <c r="G14" s="10">
        <f t="shared" si="1"/>
        <v>112562.7063</v>
      </c>
      <c r="H14" s="14"/>
      <c r="I14" s="14" t="s">
        <v>32</v>
      </c>
      <c r="J14" s="14" t="s">
        <v>33</v>
      </c>
      <c r="K14" s="14" t="s">
        <v>34</v>
      </c>
      <c r="L14" s="14" t="s">
        <v>40</v>
      </c>
      <c r="M14" s="15">
        <v>164.53</v>
      </c>
      <c r="N14" s="10">
        <f>IFERROR(__xludf.DUMMYFUNCTION("M14*GOOGLEFINANCE(""CURRENCY:USDPHP"")"),9380.225525406)</f>
        <v>9380.225525</v>
      </c>
      <c r="O14" s="10">
        <f t="shared" si="2"/>
        <v>112562.7063</v>
      </c>
    </row>
    <row r="15">
      <c r="A15" s="14" t="s">
        <v>32</v>
      </c>
      <c r="B15" s="14" t="s">
        <v>33</v>
      </c>
      <c r="C15" s="14" t="s">
        <v>34</v>
      </c>
      <c r="D15" s="14" t="s">
        <v>41</v>
      </c>
      <c r="E15" s="15">
        <v>98.3</v>
      </c>
      <c r="F15" s="10">
        <f>IFERROR(__xludf.DUMMYFUNCTION("E15*GOOGLEFINANCE(""Currency:USDPHP"")"),5604.30419466)</f>
        <v>5604.304195</v>
      </c>
      <c r="G15" s="10">
        <f t="shared" si="1"/>
        <v>67251.65034</v>
      </c>
      <c r="H15" s="14"/>
      <c r="I15" s="14" t="s">
        <v>32</v>
      </c>
      <c r="J15" s="14" t="s">
        <v>33</v>
      </c>
      <c r="K15" s="14" t="s">
        <v>34</v>
      </c>
      <c r="L15" s="14" t="s">
        <v>41</v>
      </c>
      <c r="M15" s="15">
        <v>98.3</v>
      </c>
      <c r="N15" s="10">
        <f>IFERROR(__xludf.DUMMYFUNCTION("M15*GOOGLEFINANCE(""CURRENCY:USDPHP"")"),5604.30419466)</f>
        <v>5604.304195</v>
      </c>
      <c r="O15" s="10">
        <f t="shared" si="2"/>
        <v>67251.65034</v>
      </c>
    </row>
    <row r="16">
      <c r="A16" s="14" t="s">
        <v>42</v>
      </c>
      <c r="B16" s="14" t="s">
        <v>43</v>
      </c>
      <c r="C16" s="14" t="s">
        <v>44</v>
      </c>
      <c r="D16" s="14" t="s">
        <v>35</v>
      </c>
      <c r="E16" s="15">
        <v>660.0</v>
      </c>
      <c r="F16" s="10">
        <f>IFERROR(__xludf.DUMMYFUNCTION("E16*GOOGLEFINANCE(""Currency:USDPHP"")"),37628.085132)</f>
        <v>37628.08513</v>
      </c>
      <c r="G16" s="10">
        <f t="shared" si="1"/>
        <v>451537.0216</v>
      </c>
      <c r="H16" s="14"/>
      <c r="I16" s="14" t="s">
        <v>42</v>
      </c>
      <c r="J16" s="14" t="s">
        <v>43</v>
      </c>
      <c r="K16" s="14" t="s">
        <v>44</v>
      </c>
      <c r="L16" s="14" t="s">
        <v>35</v>
      </c>
      <c r="M16" s="15">
        <v>269.92</v>
      </c>
      <c r="N16" s="10">
        <f>IFERROR(__xludf.DUMMYFUNCTION("M16*GOOGLEFINANCE(""CURRENCY:USDPHP"")"),15388.746573984)</f>
        <v>15388.74657</v>
      </c>
      <c r="O16" s="10">
        <f t="shared" si="2"/>
        <v>184664.9589</v>
      </c>
    </row>
    <row r="17">
      <c r="A17" s="14" t="s">
        <v>42</v>
      </c>
      <c r="B17" s="14" t="s">
        <v>43</v>
      </c>
      <c r="C17" s="14" t="s">
        <v>44</v>
      </c>
      <c r="D17" s="14" t="s">
        <v>36</v>
      </c>
      <c r="E17" s="15">
        <v>515.6</v>
      </c>
      <c r="F17" s="10">
        <f>IFERROR(__xludf.DUMMYFUNCTION("E17*GOOGLEFINANCE(""Currency:USDPHP"")"),29395.516203119998)</f>
        <v>29395.5162</v>
      </c>
      <c r="G17" s="10">
        <f t="shared" si="1"/>
        <v>352746.1944</v>
      </c>
      <c r="H17" s="14"/>
      <c r="I17" s="14" t="s">
        <v>42</v>
      </c>
      <c r="J17" s="14" t="s">
        <v>43</v>
      </c>
      <c r="K17" s="14" t="s">
        <v>44</v>
      </c>
      <c r="L17" s="14" t="s">
        <v>36</v>
      </c>
      <c r="M17" s="15">
        <v>515.6</v>
      </c>
      <c r="N17" s="10">
        <f>IFERROR(__xludf.DUMMYFUNCTION("M17*GOOGLEFINANCE(""CURRENCY:USDPHP"")"),29395.516203119998)</f>
        <v>29395.5162</v>
      </c>
      <c r="O17" s="10">
        <f t="shared" si="2"/>
        <v>352746.1944</v>
      </c>
    </row>
    <row r="18">
      <c r="A18" s="14" t="s">
        <v>42</v>
      </c>
      <c r="B18" s="14" t="s">
        <v>43</v>
      </c>
      <c r="C18" s="14" t="s">
        <v>44</v>
      </c>
      <c r="D18" s="14" t="s">
        <v>38</v>
      </c>
      <c r="E18" s="15">
        <v>309.6</v>
      </c>
      <c r="F18" s="10">
        <f>IFERROR(__xludf.DUMMYFUNCTION("E18*GOOGLEFINANCE(""Currency:USDPHP"")"),17650.99266192)</f>
        <v>17650.99266</v>
      </c>
      <c r="G18" s="10">
        <f t="shared" si="1"/>
        <v>211811.9119</v>
      </c>
      <c r="H18" s="14"/>
      <c r="I18" s="14" t="s">
        <v>42</v>
      </c>
      <c r="J18" s="14" t="s">
        <v>43</v>
      </c>
      <c r="K18" s="14" t="s">
        <v>44</v>
      </c>
      <c r="L18" s="14" t="s">
        <v>38</v>
      </c>
      <c r="M18" s="15">
        <v>309.6</v>
      </c>
      <c r="N18" s="10">
        <f>IFERROR(__xludf.DUMMYFUNCTION("M18*GOOGLEFINANCE(""CURRENCY:USDPHP"")"),17650.99266192)</f>
        <v>17650.99266</v>
      </c>
      <c r="O18" s="10">
        <f t="shared" si="2"/>
        <v>211811.9119</v>
      </c>
    </row>
    <row r="19">
      <c r="A19" s="14" t="s">
        <v>42</v>
      </c>
      <c r="B19" s="14" t="s">
        <v>43</v>
      </c>
      <c r="C19" s="14" t="s">
        <v>44</v>
      </c>
      <c r="D19" s="14" t="s">
        <v>39</v>
      </c>
      <c r="E19" s="15">
        <v>441.35</v>
      </c>
      <c r="F19" s="10">
        <f>IFERROR(__xludf.DUMMYFUNCTION("E19*GOOGLEFINANCE(""Currency:USDPHP"")"),25162.35662577)</f>
        <v>25162.35663</v>
      </c>
      <c r="G19" s="10">
        <f t="shared" si="1"/>
        <v>301948.2795</v>
      </c>
      <c r="H19" s="14"/>
      <c r="I19" s="14" t="s">
        <v>42</v>
      </c>
      <c r="J19" s="14" t="s">
        <v>43</v>
      </c>
      <c r="K19" s="14" t="s">
        <v>44</v>
      </c>
      <c r="L19" s="14" t="s">
        <v>39</v>
      </c>
      <c r="M19" s="15">
        <v>441.35</v>
      </c>
      <c r="N19" s="10">
        <f>IFERROR(__xludf.DUMMYFUNCTION("M19*GOOGLEFINANCE(""CURRENCY:USDPHP"")"),25162.35662577)</f>
        <v>25162.35663</v>
      </c>
      <c r="O19" s="10">
        <f t="shared" si="2"/>
        <v>301948.2795</v>
      </c>
    </row>
    <row r="20">
      <c r="A20" s="14" t="s">
        <v>42</v>
      </c>
      <c r="B20" s="14" t="s">
        <v>43</v>
      </c>
      <c r="C20" s="14" t="s">
        <v>44</v>
      </c>
      <c r="D20" s="14" t="s">
        <v>41</v>
      </c>
      <c r="E20" s="15">
        <v>309.6</v>
      </c>
      <c r="F20" s="10">
        <f>IFERROR(__xludf.DUMMYFUNCTION("E20*GOOGLEFINANCE(""Currency:USDPHP"")"),17650.99266192)</f>
        <v>17650.99266</v>
      </c>
      <c r="G20" s="10">
        <f t="shared" si="1"/>
        <v>211811.9119</v>
      </c>
      <c r="H20" s="14"/>
      <c r="I20" s="14" t="s">
        <v>42</v>
      </c>
      <c r="J20" s="14" t="s">
        <v>43</v>
      </c>
      <c r="K20" s="14" t="s">
        <v>44</v>
      </c>
      <c r="L20" s="14" t="s">
        <v>41</v>
      </c>
      <c r="M20" s="15">
        <v>309.6</v>
      </c>
      <c r="N20" s="10">
        <f>IFERROR(__xludf.DUMMYFUNCTION("M20*GOOGLEFINANCE(""CURRENCY:USDPHP"")"),17650.99266192)</f>
        <v>17650.99266</v>
      </c>
      <c r="O20" s="10">
        <f t="shared" si="2"/>
        <v>211811.9119</v>
      </c>
    </row>
    <row r="21">
      <c r="A21" s="14" t="s">
        <v>45</v>
      </c>
      <c r="B21" s="14" t="s">
        <v>46</v>
      </c>
      <c r="C21" s="14" t="s">
        <v>47</v>
      </c>
      <c r="D21" s="14" t="s">
        <v>35</v>
      </c>
      <c r="E21" s="15">
        <v>441.76</v>
      </c>
      <c r="F21" s="10">
        <f>IFERROR(__xludf.DUMMYFUNCTION("E21*GOOGLEFINANCE(""Currency:USDPHP"")"),25185.731648351997)</f>
        <v>25185.73165</v>
      </c>
      <c r="G21" s="10">
        <f t="shared" si="1"/>
        <v>302228.7798</v>
      </c>
      <c r="H21" s="14"/>
      <c r="I21" s="14" t="s">
        <v>45</v>
      </c>
      <c r="J21" s="14" t="s">
        <v>46</v>
      </c>
      <c r="K21" s="14" t="s">
        <v>47</v>
      </c>
      <c r="L21" s="14" t="s">
        <v>35</v>
      </c>
      <c r="M21" s="15">
        <v>226.63</v>
      </c>
      <c r="N21" s="10">
        <f>IFERROR(__xludf.DUMMYFUNCTION("M21*GOOGLEFINANCE(""CURRENCY:USDPHP"")"),12920.686262825999)</f>
        <v>12920.68626</v>
      </c>
      <c r="O21" s="10">
        <f t="shared" si="2"/>
        <v>155048.2352</v>
      </c>
    </row>
    <row r="22">
      <c r="A22" s="14" t="s">
        <v>45</v>
      </c>
      <c r="B22" s="14" t="s">
        <v>46</v>
      </c>
      <c r="C22" s="14" t="s">
        <v>47</v>
      </c>
      <c r="D22" s="14" t="s">
        <v>48</v>
      </c>
      <c r="E22" s="15">
        <v>315.44</v>
      </c>
      <c r="F22" s="10">
        <f>IFERROR(__xludf.DUMMYFUNCTION("E22*GOOGLEFINANCE(""Currency:USDPHP"")"),17983.944203087998)</f>
        <v>17983.9442</v>
      </c>
      <c r="G22" s="10">
        <f t="shared" si="1"/>
        <v>215807.3304</v>
      </c>
      <c r="H22" s="14"/>
      <c r="I22" s="14" t="s">
        <v>45</v>
      </c>
      <c r="J22" s="14" t="s">
        <v>46</v>
      </c>
      <c r="K22" s="14" t="s">
        <v>47</v>
      </c>
      <c r="L22" s="14" t="s">
        <v>48</v>
      </c>
      <c r="M22" s="15">
        <v>179.9</v>
      </c>
      <c r="N22" s="10">
        <f>IFERROR(__xludf.DUMMYFUNCTION("M22*GOOGLEFINANCE(""CURRENCY:USDPHP"")"),10256.503810979999)</f>
        <v>10256.50381</v>
      </c>
      <c r="O22" s="10">
        <f t="shared" si="2"/>
        <v>123078.0457</v>
      </c>
    </row>
    <row r="23">
      <c r="A23" s="14" t="s">
        <v>45</v>
      </c>
      <c r="B23" s="14" t="s">
        <v>46</v>
      </c>
      <c r="C23" s="14" t="s">
        <v>47</v>
      </c>
      <c r="D23" s="14" t="s">
        <v>49</v>
      </c>
      <c r="E23" s="15">
        <v>253.99</v>
      </c>
      <c r="F23" s="10">
        <f>IFERROR(__xludf.DUMMYFUNCTION("E23*GOOGLEFINANCE(""Currency:USDPHP"")"),14480.541428298)</f>
        <v>14480.54143</v>
      </c>
      <c r="G23" s="10">
        <f t="shared" si="1"/>
        <v>173766.4971</v>
      </c>
      <c r="H23" s="14"/>
      <c r="I23" s="14" t="s">
        <v>45</v>
      </c>
      <c r="J23" s="14" t="s">
        <v>46</v>
      </c>
      <c r="K23" s="14" t="s">
        <v>47</v>
      </c>
      <c r="L23" s="14" t="s">
        <v>49</v>
      </c>
      <c r="M23" s="15">
        <v>157.18</v>
      </c>
      <c r="N23" s="10">
        <f>IFERROR(__xludf.DUMMYFUNCTION("M23*GOOGLEFINANCE(""CURRENCY:USDPHP"")"),8961.185486436)</f>
        <v>8961.185486</v>
      </c>
      <c r="O23" s="10">
        <f t="shared" si="2"/>
        <v>107534.2258</v>
      </c>
    </row>
    <row r="31">
      <c r="U31" s="8" t="s">
        <v>50</v>
      </c>
    </row>
    <row r="32">
      <c r="U32" s="8" t="s">
        <v>51</v>
      </c>
      <c r="V32" s="8" t="s">
        <v>52</v>
      </c>
      <c r="W32" s="8" t="s">
        <v>53</v>
      </c>
      <c r="X32" s="8" t="s">
        <v>54</v>
      </c>
    </row>
    <row r="33">
      <c r="T33" s="8" t="s">
        <v>55</v>
      </c>
      <c r="U33" s="9">
        <v>53289.46</v>
      </c>
      <c r="V33" s="10">
        <f>66789.5418</f>
        <v>66789.5418</v>
      </c>
      <c r="W33" s="10">
        <f>210373.13015424*1</f>
        <v>210373.1302</v>
      </c>
      <c r="X33" s="10">
        <f>106807.58232*1</f>
        <v>106807.5823</v>
      </c>
    </row>
    <row r="34">
      <c r="T34" s="8" t="s">
        <v>56</v>
      </c>
      <c r="U34" s="9">
        <v>60389.92</v>
      </c>
      <c r="V34" s="10">
        <f>66789.5418*2</f>
        <v>133579.0836</v>
      </c>
      <c r="W34" s="10">
        <f>210373.13015424*2</f>
        <v>420746.2603</v>
      </c>
      <c r="X34" s="10">
        <f>106807.58232*2</f>
        <v>213615.1646</v>
      </c>
    </row>
    <row r="35">
      <c r="T35" s="8" t="s">
        <v>57</v>
      </c>
      <c r="U35" s="9">
        <v>67490.38</v>
      </c>
      <c r="V35" s="10">
        <f>66789.5418*3</f>
        <v>200368.6254</v>
      </c>
      <c r="W35" s="10">
        <f>210373.13015424*3</f>
        <v>631119.3905</v>
      </c>
      <c r="X35" s="10">
        <f>106807.58232*3</f>
        <v>320422.747</v>
      </c>
    </row>
  </sheetData>
  <mergeCells count="1">
    <mergeCell ref="A1:G1"/>
  </mergeCells>
  <drawing r:id="rId1"/>
</worksheet>
</file>