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tuckschool.sharepoint.com/sites/VCPEStuff/Shared Documents/General/Case 3 -- P97/"/>
    </mc:Choice>
  </mc:AlternateContent>
  <xr:revisionPtr revIDLastSave="302" documentId="8_{E6D25829-CC4D-4713-AB48-9027F6018AAF}" xr6:coauthVersionLast="47" xr6:coauthVersionMax="47" xr10:uidLastSave="{9E1ABD06-B5A7-41EA-A489-CC423E7239E9}"/>
  <bookViews>
    <workbookView minimized="1" xWindow="3510" yWindow="960" windowWidth="21300" windowHeight="14625" activeTab="1" xr2:uid="{00000000-000D-0000-FFFF-FFFF00000000}"/>
  </bookViews>
  <sheets>
    <sheet name="Original (mgmt projections)" sheetId="11" r:id="rId1"/>
    <sheet name="Model" sheetId="10" r:id="rId2"/>
    <sheet name="Comps" sheetId="8" r:id="rId3"/>
    <sheet name="Precedents" sheetId="9" r:id="rId4"/>
  </sheets>
  <calcPr calcId="191028" calcMode="autoNoTable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0" l="1"/>
  <c r="D125" i="11"/>
  <c r="H5" i="8"/>
  <c r="H6" i="8"/>
  <c r="G5" i="8"/>
  <c r="G6" i="8"/>
  <c r="E93" i="10"/>
  <c r="H4" i="8"/>
  <c r="G4" i="8"/>
  <c r="H3" i="8"/>
  <c r="G3" i="8"/>
  <c r="D123" i="11"/>
  <c r="D119" i="10"/>
  <c r="D122" i="11"/>
  <c r="D120" i="11"/>
  <c r="J67" i="11"/>
  <c r="L67" i="11"/>
  <c r="L111" i="11"/>
  <c r="K111" i="11"/>
  <c r="J111" i="11"/>
  <c r="I111" i="11"/>
  <c r="H111" i="11"/>
  <c r="G111" i="11"/>
  <c r="F111" i="11"/>
  <c r="E111" i="11"/>
  <c r="L110" i="11"/>
  <c r="K110" i="11"/>
  <c r="J110" i="11"/>
  <c r="I110" i="11"/>
  <c r="H110" i="11"/>
  <c r="G110" i="11"/>
  <c r="F110" i="11"/>
  <c r="E110" i="11"/>
  <c r="L88" i="11"/>
  <c r="K88" i="11"/>
  <c r="J88" i="11"/>
  <c r="I88" i="11"/>
  <c r="H88" i="11"/>
  <c r="G88" i="11"/>
  <c r="F88" i="11"/>
  <c r="E88" i="11"/>
  <c r="L79" i="11"/>
  <c r="K79" i="11"/>
  <c r="J79" i="11"/>
  <c r="I79" i="11"/>
  <c r="H79" i="11"/>
  <c r="G79" i="11"/>
  <c r="F79" i="11"/>
  <c r="E79" i="11"/>
  <c r="L65" i="11"/>
  <c r="K65" i="11"/>
  <c r="K67" i="11" s="1"/>
  <c r="J65" i="11"/>
  <c r="I65" i="11"/>
  <c r="I67" i="11" s="1"/>
  <c r="H65" i="11"/>
  <c r="H67" i="11" s="1"/>
  <c r="G65" i="11"/>
  <c r="F65" i="11"/>
  <c r="E65" i="11"/>
  <c r="L61" i="11"/>
  <c r="K61" i="11"/>
  <c r="J61" i="11"/>
  <c r="I61" i="11"/>
  <c r="H61" i="11"/>
  <c r="G61" i="11"/>
  <c r="F61" i="11"/>
  <c r="E61" i="11"/>
  <c r="L55" i="11"/>
  <c r="K55" i="11"/>
  <c r="J55" i="11"/>
  <c r="I55" i="11"/>
  <c r="H55" i="11"/>
  <c r="G55" i="11"/>
  <c r="F55" i="11"/>
  <c r="E55" i="11"/>
  <c r="F48" i="11"/>
  <c r="G48" i="11" s="1"/>
  <c r="E47" i="11"/>
  <c r="L27" i="11"/>
  <c r="K27" i="11"/>
  <c r="J27" i="11"/>
  <c r="I27" i="11"/>
  <c r="H27" i="11"/>
  <c r="G27" i="11"/>
  <c r="F27" i="11"/>
  <c r="L16" i="11"/>
  <c r="K16" i="11"/>
  <c r="J16" i="11"/>
  <c r="I16" i="11"/>
  <c r="H16" i="11"/>
  <c r="G16" i="11"/>
  <c r="F16" i="11"/>
  <c r="F4" i="11"/>
  <c r="G4" i="11" s="1"/>
  <c r="E3" i="11"/>
  <c r="H68" i="10"/>
  <c r="H4" i="11" l="1"/>
  <c r="G3" i="11"/>
  <c r="H48" i="11"/>
  <c r="G47" i="11"/>
  <c r="F47" i="11"/>
  <c r="E67" i="11"/>
  <c r="E71" i="11" s="1"/>
  <c r="F3" i="11"/>
  <c r="F67" i="11"/>
  <c r="G67" i="11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44" i="11" l="1"/>
  <c r="L43" i="11"/>
  <c r="L42" i="11"/>
  <c r="L81" i="11"/>
  <c r="L70" i="11"/>
  <c r="L69" i="11"/>
  <c r="L71" i="11"/>
  <c r="G81" i="11"/>
  <c r="G44" i="11"/>
  <c r="G43" i="11"/>
  <c r="G42" i="11"/>
  <c r="G71" i="11"/>
  <c r="G70" i="11"/>
  <c r="F81" i="11"/>
  <c r="F70" i="11"/>
  <c r="F69" i="11"/>
  <c r="F44" i="11"/>
  <c r="F43" i="11"/>
  <c r="F42" i="11"/>
  <c r="E81" i="11"/>
  <c r="E70" i="11"/>
  <c r="E69" i="11"/>
  <c r="E44" i="11"/>
  <c r="E43" i="11"/>
  <c r="E42" i="11"/>
  <c r="G69" i="11"/>
  <c r="H47" i="11"/>
  <c r="I48" i="11"/>
  <c r="F71" i="11"/>
  <c r="I4" i="11"/>
  <c r="H3" i="11"/>
  <c r="E114" i="10"/>
  <c r="E113" i="10"/>
  <c r="L27" i="10"/>
  <c r="K27" i="10"/>
  <c r="J27" i="10"/>
  <c r="I27" i="10"/>
  <c r="H27" i="10"/>
  <c r="G27" i="10"/>
  <c r="F27" i="10"/>
  <c r="L16" i="10"/>
  <c r="K16" i="10"/>
  <c r="J16" i="10"/>
  <c r="I16" i="10"/>
  <c r="H16" i="10"/>
  <c r="G16" i="10"/>
  <c r="F16" i="10"/>
  <c r="G90" i="11" l="1"/>
  <c r="G82" i="11"/>
  <c r="H81" i="11"/>
  <c r="H44" i="11"/>
  <c r="H43" i="11"/>
  <c r="H42" i="11"/>
  <c r="H69" i="11"/>
  <c r="H71" i="11"/>
  <c r="H70" i="11"/>
  <c r="F90" i="11"/>
  <c r="F82" i="11"/>
  <c r="I81" i="11"/>
  <c r="I44" i="11"/>
  <c r="I43" i="11"/>
  <c r="I42" i="11"/>
  <c r="I69" i="11"/>
  <c r="I71" i="11"/>
  <c r="I70" i="11"/>
  <c r="J81" i="11"/>
  <c r="J44" i="11"/>
  <c r="J43" i="11"/>
  <c r="J42" i="11"/>
  <c r="J69" i="11"/>
  <c r="J71" i="11"/>
  <c r="J70" i="11"/>
  <c r="L90" i="11"/>
  <c r="L82" i="11"/>
  <c r="J48" i="11"/>
  <c r="I47" i="11"/>
  <c r="E90" i="11"/>
  <c r="E82" i="11"/>
  <c r="K44" i="11"/>
  <c r="K43" i="11"/>
  <c r="K42" i="11"/>
  <c r="K81" i="11"/>
  <c r="K70" i="11"/>
  <c r="K69" i="11"/>
  <c r="K71" i="11"/>
  <c r="J4" i="11"/>
  <c r="I3" i="11"/>
  <c r="E91" i="10"/>
  <c r="F48" i="10"/>
  <c r="G48" i="10" s="1"/>
  <c r="E47" i="10"/>
  <c r="F4" i="10"/>
  <c r="G4" i="10" s="1"/>
  <c r="E3" i="10"/>
  <c r="E109" i="11" l="1"/>
  <c r="E114" i="11" s="1"/>
  <c r="E101" i="11"/>
  <c r="E102" i="11" s="1"/>
  <c r="E95" i="11"/>
  <c r="E99" i="11" s="1"/>
  <c r="E91" i="11"/>
  <c r="K48" i="11"/>
  <c r="J47" i="11"/>
  <c r="I90" i="11"/>
  <c r="I82" i="11"/>
  <c r="K90" i="11"/>
  <c r="K82" i="11"/>
  <c r="J90" i="11"/>
  <c r="J82" i="11"/>
  <c r="H90" i="11"/>
  <c r="H82" i="11"/>
  <c r="K4" i="11"/>
  <c r="J3" i="11"/>
  <c r="L109" i="11"/>
  <c r="L114" i="11" s="1"/>
  <c r="L101" i="11"/>
  <c r="L95" i="11"/>
  <c r="L99" i="11" s="1"/>
  <c r="L91" i="11"/>
  <c r="F109" i="11"/>
  <c r="F114" i="11" s="1"/>
  <c r="F101" i="11"/>
  <c r="F102" i="11" s="1"/>
  <c r="F95" i="11"/>
  <c r="F99" i="11" s="1"/>
  <c r="F91" i="11"/>
  <c r="G109" i="11"/>
  <c r="G114" i="11" s="1"/>
  <c r="G101" i="11"/>
  <c r="G102" i="11" s="1"/>
  <c r="G95" i="11"/>
  <c r="G99" i="11" s="1"/>
  <c r="G91" i="11"/>
  <c r="H48" i="10"/>
  <c r="G47" i="10"/>
  <c r="F91" i="10"/>
  <c r="F47" i="10"/>
  <c r="G91" i="10"/>
  <c r="H91" i="10"/>
  <c r="I91" i="10"/>
  <c r="J91" i="10"/>
  <c r="K91" i="10"/>
  <c r="L91" i="10"/>
  <c r="G3" i="10"/>
  <c r="H4" i="10"/>
  <c r="F3" i="10"/>
  <c r="K47" i="11" l="1"/>
  <c r="L48" i="11"/>
  <c r="L47" i="11" s="1"/>
  <c r="K3" i="11"/>
  <c r="L4" i="11"/>
  <c r="L3" i="11" s="1"/>
  <c r="I109" i="11"/>
  <c r="I114" i="11" s="1"/>
  <c r="I101" i="11"/>
  <c r="I102" i="11" s="1"/>
  <c r="I95" i="11"/>
  <c r="I99" i="11" s="1"/>
  <c r="I91" i="11"/>
  <c r="H109" i="11"/>
  <c r="H114" i="11" s="1"/>
  <c r="H101" i="11"/>
  <c r="H102" i="11" s="1"/>
  <c r="H95" i="11"/>
  <c r="H99" i="11" s="1"/>
  <c r="H91" i="11"/>
  <c r="J109" i="11"/>
  <c r="J114" i="11" s="1"/>
  <c r="J101" i="11"/>
  <c r="J102" i="11" s="1"/>
  <c r="J95" i="11"/>
  <c r="J99" i="11" s="1"/>
  <c r="J91" i="11"/>
  <c r="L115" i="11"/>
  <c r="L102" i="11"/>
  <c r="K109" i="11"/>
  <c r="K114" i="11" s="1"/>
  <c r="K101" i="11"/>
  <c r="K102" i="11" s="1"/>
  <c r="K95" i="11"/>
  <c r="K99" i="11" s="1"/>
  <c r="K91" i="11"/>
  <c r="I48" i="10"/>
  <c r="H47" i="10"/>
  <c r="I4" i="10"/>
  <c r="H3" i="10"/>
  <c r="D116" i="11" l="1"/>
  <c r="E122" i="11" s="1"/>
  <c r="J48" i="10"/>
  <c r="I47" i="10"/>
  <c r="J4" i="10"/>
  <c r="I3" i="10"/>
  <c r="K48" i="10" l="1"/>
  <c r="J47" i="10"/>
  <c r="K4" i="10"/>
  <c r="J3" i="10"/>
  <c r="L48" i="10" l="1"/>
  <c r="L47" i="10" s="1"/>
  <c r="K47" i="10"/>
  <c r="L4" i="10"/>
  <c r="L3" i="10" s="1"/>
  <c r="K3" i="10"/>
  <c r="I55" i="10" l="1"/>
  <c r="J55" i="10"/>
  <c r="K55" i="10"/>
  <c r="E55" i="10"/>
  <c r="F55" i="10"/>
  <c r="G55" i="10"/>
  <c r="H55" i="10"/>
  <c r="L55" i="10" l="1"/>
  <c r="I68" i="10" l="1"/>
  <c r="J61" i="10"/>
  <c r="J68" i="10" l="1"/>
  <c r="K61" i="10"/>
  <c r="H61" i="10"/>
  <c r="K68" i="10"/>
  <c r="I61" i="10"/>
  <c r="L68" i="10"/>
  <c r="L61" i="10"/>
  <c r="E68" i="10"/>
  <c r="F68" i="10"/>
  <c r="G68" i="10"/>
  <c r="F61" i="10"/>
  <c r="G61" i="10"/>
  <c r="H64" i="10" s="1"/>
  <c r="I64" i="10" l="1"/>
  <c r="H70" i="10"/>
  <c r="H73" i="10" s="1"/>
  <c r="G70" i="10"/>
  <c r="K62" i="10"/>
  <c r="I62" i="10"/>
  <c r="G62" i="10"/>
  <c r="H62" i="10"/>
  <c r="L62" i="10"/>
  <c r="J62" i="10"/>
  <c r="F70" i="10"/>
  <c r="J64" i="10" l="1"/>
  <c r="I70" i="10"/>
  <c r="H74" i="10"/>
  <c r="H42" i="10"/>
  <c r="H43" i="10"/>
  <c r="H44" i="10"/>
  <c r="F73" i="10"/>
  <c r="F44" i="10"/>
  <c r="F42" i="10"/>
  <c r="F43" i="10"/>
  <c r="G73" i="10"/>
  <c r="G44" i="10"/>
  <c r="G42" i="10"/>
  <c r="G43" i="10"/>
  <c r="H72" i="10"/>
  <c r="H82" i="10"/>
  <c r="H84" i="10" s="1"/>
  <c r="H93" i="10" s="1"/>
  <c r="H112" i="10" s="1"/>
  <c r="H117" i="10" s="1"/>
  <c r="G72" i="10"/>
  <c r="G74" i="10"/>
  <c r="F72" i="10"/>
  <c r="F74" i="10"/>
  <c r="I44" i="10" l="1"/>
  <c r="I42" i="10"/>
  <c r="I73" i="10"/>
  <c r="I74" i="10"/>
  <c r="I72" i="10"/>
  <c r="I43" i="10"/>
  <c r="K64" i="10"/>
  <c r="J70" i="10"/>
  <c r="H85" i="10"/>
  <c r="H104" i="10"/>
  <c r="H105" i="10" s="1"/>
  <c r="H98" i="10"/>
  <c r="H102" i="10" s="1"/>
  <c r="H94" i="10"/>
  <c r="J73" i="10" l="1"/>
  <c r="J44" i="10"/>
  <c r="J43" i="10"/>
  <c r="J42" i="10"/>
  <c r="J74" i="10"/>
  <c r="J72" i="10"/>
  <c r="L64" i="10"/>
  <c r="L70" i="10" s="1"/>
  <c r="K70" i="10"/>
  <c r="F82" i="10"/>
  <c r="F84" i="10" s="1"/>
  <c r="E82" i="10"/>
  <c r="L82" i="10"/>
  <c r="K82" i="10"/>
  <c r="J82" i="10"/>
  <c r="J84" i="10" s="1"/>
  <c r="I82" i="10"/>
  <c r="I84" i="10" s="1"/>
  <c r="G82" i="10"/>
  <c r="G84" i="10" s="1"/>
  <c r="L74" i="10" l="1"/>
  <c r="L42" i="10"/>
  <c r="L43" i="10"/>
  <c r="L72" i="10"/>
  <c r="L44" i="10"/>
  <c r="L73" i="10"/>
  <c r="K84" i="10"/>
  <c r="L84" i="10"/>
  <c r="L85" i="10" s="1"/>
  <c r="K73" i="10"/>
  <c r="K74" i="10"/>
  <c r="K43" i="10"/>
  <c r="K42" i="10"/>
  <c r="K44" i="10"/>
  <c r="K72" i="10"/>
  <c r="K93" i="10"/>
  <c r="K112" i="10" s="1"/>
  <c r="K117" i="10" s="1"/>
  <c r="K85" i="10"/>
  <c r="G93" i="10"/>
  <c r="G112" i="10" s="1"/>
  <c r="G117" i="10" s="1"/>
  <c r="G85" i="10"/>
  <c r="I93" i="10"/>
  <c r="I112" i="10" s="1"/>
  <c r="I117" i="10" s="1"/>
  <c r="I85" i="10"/>
  <c r="J93" i="10"/>
  <c r="J112" i="10" s="1"/>
  <c r="J117" i="10" s="1"/>
  <c r="J85" i="10"/>
  <c r="F93" i="10"/>
  <c r="F112" i="10" s="1"/>
  <c r="F117" i="10" s="1"/>
  <c r="F85" i="10"/>
  <c r="L93" i="10" l="1"/>
  <c r="L112" i="10" s="1"/>
  <c r="L117" i="10" s="1"/>
  <c r="I104" i="10"/>
  <c r="I105" i="10" s="1"/>
  <c r="I98" i="10"/>
  <c r="I102" i="10" s="1"/>
  <c r="I94" i="10"/>
  <c r="G104" i="10"/>
  <c r="G105" i="10" s="1"/>
  <c r="G98" i="10"/>
  <c r="G102" i="10" s="1"/>
  <c r="G94" i="10"/>
  <c r="F104" i="10"/>
  <c r="F105" i="10" s="1"/>
  <c r="F98" i="10"/>
  <c r="F102" i="10" s="1"/>
  <c r="F94" i="10"/>
  <c r="J104" i="10"/>
  <c r="J105" i="10" s="1"/>
  <c r="J98" i="10"/>
  <c r="J102" i="10" s="1"/>
  <c r="J94" i="10"/>
  <c r="K104" i="10"/>
  <c r="K105" i="10" s="1"/>
  <c r="K98" i="10"/>
  <c r="K102" i="10" s="1"/>
  <c r="K94" i="10"/>
  <c r="L104" i="10" l="1"/>
  <c r="L118" i="10" s="1"/>
  <c r="D123" i="10" s="1"/>
  <c r="E125" i="10" s="1"/>
  <c r="D126" i="10" s="1"/>
  <c r="L98" i="10"/>
  <c r="L102" i="10" s="1"/>
  <c r="L94" i="10"/>
  <c r="I13" i="9"/>
  <c r="J13" i="9"/>
  <c r="H7" i="8"/>
  <c r="G7" i="8"/>
  <c r="L105" i="10" l="1"/>
  <c r="E61" i="10"/>
  <c r="F62" i="10" s="1"/>
  <c r="E70" i="10" l="1"/>
  <c r="E73" i="10" s="1"/>
  <c r="E72" i="10" l="1"/>
  <c r="E44" i="10"/>
  <c r="E42" i="10"/>
  <c r="E74" i="10"/>
  <c r="E84" i="10"/>
  <c r="E43" i="10"/>
  <c r="E85" i="10" l="1"/>
  <c r="E112" i="10" l="1"/>
  <c r="E117" i="10" s="1"/>
  <c r="E104" i="10"/>
  <c r="E105" i="10" s="1"/>
  <c r="E98" i="10"/>
  <c r="E102" i="10" s="1"/>
  <c r="E9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brittney wade</author>
  </authors>
  <commentList>
    <comment ref="F3" authorId="0" shapeId="0" xr:uid="{B7122397-C64F-4170-9DCB-775F906D0DFE}">
      <text>
        <r>
          <rPr>
            <b/>
            <sz val="9"/>
            <color indexed="81"/>
            <rFont val="Tahoma"/>
            <family val="2"/>
          </rPr>
          <t>brittney wade:</t>
        </r>
        <r>
          <rPr>
            <sz val="9"/>
            <color indexed="81"/>
            <rFont val="Tahoma"/>
            <family val="2"/>
          </rPr>
          <t xml:space="preserve">
Pitchbook data represented this number as $0, so this is a dummy variable</t>
        </r>
      </text>
    </comment>
  </commentList>
</comments>
</file>

<file path=xl/sharedStrings.xml><?xml version="1.0" encoding="utf-8"?>
<sst xmlns="http://schemas.openxmlformats.org/spreadsheetml/2006/main" count="269" uniqueCount="131">
  <si>
    <t>CONFIDENTIAL</t>
  </si>
  <si>
    <t>You can adjust the model below, growth rates and margins as you deem appropriate</t>
  </si>
  <si>
    <t>Yellow cells below calculate the FCF and returns to investors</t>
  </si>
  <si>
    <t>ACTUAL</t>
  </si>
  <si>
    <t>MGMT FORECASTS</t>
  </si>
  <si>
    <t>KPI METRICS and KEY ASSUMPTIONS:   Can change by year beginning in 2022</t>
  </si>
  <si>
    <t>Live Sites</t>
  </si>
  <si>
    <t xml:space="preserve">            Growth in Live Sites</t>
  </si>
  <si>
    <t>Beginning of Year Existing Live Sites</t>
  </si>
  <si>
    <t>Contracted Sites Going Live During Year</t>
  </si>
  <si>
    <t>New Live Sites from Pipeline</t>
  </si>
  <si>
    <t>Total Live Sites at Year End</t>
  </si>
  <si>
    <t>% of Live Sites with Transactions (At Year End)</t>
  </si>
  <si>
    <t>Total Live Sites with Transactions (At Year End)</t>
  </si>
  <si>
    <t>% gain in live sites</t>
  </si>
  <si>
    <t>Transactions</t>
  </si>
  <si>
    <t>Implied Mobile Adoption %</t>
  </si>
  <si>
    <t>Total Transactions per Site</t>
  </si>
  <si>
    <t>Completed Transactions</t>
  </si>
  <si>
    <t>Active Users</t>
  </si>
  <si>
    <t>Total Transactions per User (Monthly at year end)</t>
  </si>
  <si>
    <t>Monthly Active Users (At year end)</t>
  </si>
  <si>
    <t>Registered Users (At year end)</t>
  </si>
  <si>
    <t xml:space="preserve">             % gain in Active Users</t>
  </si>
  <si>
    <t>Revenue Ratios</t>
  </si>
  <si>
    <t>Subscription Revenue / Live Site</t>
  </si>
  <si>
    <t>Transaction-based Revenue / Live Site</t>
  </si>
  <si>
    <t>SaaS + Transaction-based Rev / Live Site</t>
  </si>
  <si>
    <t>Transaction Revenue / Transaction</t>
  </si>
  <si>
    <t>Cost of Sales Ratios</t>
  </si>
  <si>
    <t>Clound Hosting / Transaction</t>
  </si>
  <si>
    <t>Token Vault Provider / Transaction</t>
  </si>
  <si>
    <t>Transaction Fee / Transaction</t>
  </si>
  <si>
    <t>Data Connection/ Transaction</t>
  </si>
  <si>
    <t>Cost of Sales - Other / Revenue</t>
  </si>
  <si>
    <t xml:space="preserve"> </t>
  </si>
  <si>
    <t>Operating Expense Ratios</t>
  </si>
  <si>
    <t>Salaries &amp; Wages % of Revenue</t>
  </si>
  <si>
    <t>General &amp; Administrative % of Revenue</t>
  </si>
  <si>
    <t>Depreciation &amp; Amortization % of Revenue</t>
  </si>
  <si>
    <t>Income Statement</t>
  </si>
  <si>
    <t xml:space="preserve">FORECASTS </t>
  </si>
  <si>
    <t>Subscription Revenue</t>
  </si>
  <si>
    <t>Contracted Subscription Revenue</t>
  </si>
  <si>
    <t>Pipeline Subscription Revenue</t>
  </si>
  <si>
    <t>Total Subscription Revenue</t>
  </si>
  <si>
    <t>Transaction-based Revenue</t>
  </si>
  <si>
    <t>Contracted Customer App Transactions</t>
  </si>
  <si>
    <t>New Customer App Transactions</t>
  </si>
  <si>
    <t>Super App Transactions</t>
  </si>
  <si>
    <t>Digital Offer Network Revenue</t>
  </si>
  <si>
    <t>Total Transaction-based Revenue</t>
  </si>
  <si>
    <t>Professional Services Revenue</t>
  </si>
  <si>
    <t>Contracted Professional Services Revenue</t>
  </si>
  <si>
    <t>Pipeline Professional Services Revenue</t>
  </si>
  <si>
    <t>Total Professional Services Revenue</t>
  </si>
  <si>
    <t>Total Revenue</t>
  </si>
  <si>
    <t>SaaS Revenue %</t>
  </si>
  <si>
    <t>Transaction -based Revenue %</t>
  </si>
  <si>
    <t>Non-Recurring Revenue %</t>
  </si>
  <si>
    <t>COST OF SALES</t>
  </si>
  <si>
    <t>Cloud Hosting</t>
  </si>
  <si>
    <t>Token Vault Provider</t>
  </si>
  <si>
    <t>Transaction Fee</t>
  </si>
  <si>
    <t>Data Connection</t>
  </si>
  <si>
    <t>Other COGS</t>
  </si>
  <si>
    <t>Total Cost of Sales</t>
  </si>
  <si>
    <t>Gross Profit</t>
  </si>
  <si>
    <t>Gross Margin %</t>
  </si>
  <si>
    <t>OPERATING EXPENSES</t>
  </si>
  <si>
    <t>Salaries &amp; Wages</t>
  </si>
  <si>
    <t>General &amp; Administrative</t>
  </si>
  <si>
    <t>Depreciation &amp; Amortization</t>
  </si>
  <si>
    <t>Total Operating Expenses</t>
  </si>
  <si>
    <t>Operating Income</t>
  </si>
  <si>
    <t>Operating Income Margin %</t>
  </si>
  <si>
    <t>Concerned that operating margin is unrealistically high in management projections (reaching 72%)</t>
  </si>
  <si>
    <t>Other Income / (Expense)</t>
  </si>
  <si>
    <t>Interest Income / (Expense)</t>
  </si>
  <si>
    <t>Pre-Tax Income</t>
  </si>
  <si>
    <t>Tax Expense</t>
  </si>
  <si>
    <t>NET INCOME</t>
  </si>
  <si>
    <t>EBITDA</t>
  </si>
  <si>
    <t>EBITDA Margin</t>
  </si>
  <si>
    <t xml:space="preserve">FCF </t>
  </si>
  <si>
    <t>Discount Rate (can be based on min IRR needed by investors)</t>
  </si>
  <si>
    <t xml:space="preserve">20-30%, smaller the firm higher the hurdle </t>
  </si>
  <si>
    <t>Terminal value EBITDA Multiple (check PitchBook for comparables)</t>
  </si>
  <si>
    <t>Free Cash Flow to Firm</t>
  </si>
  <si>
    <t>EBIT</t>
  </si>
  <si>
    <t>Less: Taxes</t>
  </si>
  <si>
    <t>Plus: D&amp;A</t>
  </si>
  <si>
    <t>Less: Change in NWC</t>
  </si>
  <si>
    <t>Less: Capex</t>
  </si>
  <si>
    <t>FCFF</t>
  </si>
  <si>
    <t>Value at Exit</t>
  </si>
  <si>
    <t>Net Present Value of Firm Cash Flow (Pre-Money Valuation)</t>
  </si>
  <si>
    <t>Investment Amount</t>
  </si>
  <si>
    <t>5-10M *based on Staley Capital Website</t>
  </si>
  <si>
    <t>Post Money Investment</t>
  </si>
  <si>
    <t>Staley</t>
  </si>
  <si>
    <t>% of the Firm</t>
  </si>
  <si>
    <t>IRR to Equity</t>
  </si>
  <si>
    <t xml:space="preserve">IRR has to be based on original NPV pre money valuation that management predicted </t>
  </si>
  <si>
    <t>X</t>
  </si>
  <si>
    <t>Company​</t>
  </si>
  <si>
    <t>Price 
(DATE)​</t>
  </si>
  <si>
    <t>Enterprise Value ($M)​</t>
  </si>
  <si>
    <t>LTM 
Revenue ($M)​</t>
  </si>
  <si>
    <t>LTM EBITDA ($M)​</t>
  </si>
  <si>
    <t>EV / Revenue​</t>
  </si>
  <si>
    <t>EV / EBITDA​</t>
  </si>
  <si>
    <t>Branding Brand</t>
  </si>
  <si>
    <t>Flybuy</t>
  </si>
  <si>
    <t>FiveStars</t>
  </si>
  <si>
    <t>Weave</t>
  </si>
  <si>
    <t>​</t>
  </si>
  <si>
    <r>
      <t>Median</t>
    </r>
    <r>
      <rPr>
        <sz val="12"/>
        <color rgb="FF000000"/>
        <rFont val="Arial"/>
        <family val="2"/>
      </rPr>
      <t>​</t>
    </r>
  </si>
  <si>
    <t>Target​</t>
  </si>
  <si>
    <t>Acquirer​</t>
  </si>
  <si>
    <t>Description</t>
  </si>
  <si>
    <t>Date​</t>
  </si>
  <si>
    <t>Enterprise 
Value ($M)​</t>
  </si>
  <si>
    <t>LTM 
Revenue ($M)​</t>
  </si>
  <si>
    <t>LTM 
EBITDA ($M)​</t>
  </si>
  <si>
    <t>EV / Rev</t>
  </si>
  <si>
    <t>EV / EBITDA</t>
  </si>
  <si>
    <t>IRR would be negative?</t>
  </si>
  <si>
    <t>Our Estimated Total Transaction-based Revenue</t>
  </si>
  <si>
    <t>Our Est. Growth Rate for Transaction-based Revenue</t>
  </si>
  <si>
    <t>Mgmt Projections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</si>
</sst>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5" formatCode="0.0\x"/>
    <numFmt numFmtId="166" formatCode="&quot;$&quot;#,##0"/>
    <numFmt numFmtId="167" formatCode="_(\ #,##0_);_(\ \(#,##0\);_(\ &quot;-&quot;??_);_(@_)"/>
    <numFmt numFmtId="168" formatCode="&quot;$&quot;#,##0.00"/>
    <numFmt numFmtId="169" formatCode="_(\ #,##0.0_);_(\ \(#,##0.0\);_(\ &quot;-&quot;??_);_(@_)"/>
    <numFmt numFmtId="170" formatCode="&quot;$&quot;#,##0.000"/>
    <numFmt numFmtId="171" formatCode="_(\ #,##0.000_);_(\ \(#,##0.000\);_(\ &quot;-&quot;??_);_(@_)"/>
    <numFmt numFmtId="172" formatCode="0.0%"/>
    <numFmt numFmtId="173" formatCode="[$-409]mmm\-yy;@"/>
    <numFmt numFmtId="174" formatCode="_(&quot;$&quot;* #,##0_);_(&quot;$&quot;* \(#,##0\);_(\ &quot;-&quot;??_);_(@_)"/>
    <numFmt numFmtId="17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E623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4" fontId="5" fillId="0" borderId="6" xfId="2" applyFont="1" applyBorder="1" applyAlignment="1">
      <alignment horizontal="center" vertical="center" wrapText="1"/>
    </xf>
    <xf numFmtId="44" fontId="5" fillId="0" borderId="0" xfId="2" applyFont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165" fontId="4" fillId="0" borderId="12" xfId="0" applyNumberFormat="1" applyFont="1" applyBorder="1" applyAlignment="1">
      <alignment horizontal="center" vertical="center" wrapText="1"/>
    </xf>
    <xf numFmtId="44" fontId="5" fillId="0" borderId="0" xfId="2" applyFont="1" applyBorder="1" applyAlignment="1">
      <alignment horizontal="center" vertical="center" wrapText="1"/>
    </xf>
    <xf numFmtId="0" fontId="2" fillId="0" borderId="0" xfId="0" applyFont="1"/>
    <xf numFmtId="166" fontId="0" fillId="0" borderId="0" xfId="0" applyNumberFormat="1"/>
    <xf numFmtId="167" fontId="7" fillId="0" borderId="0" xfId="0" applyNumberFormat="1" applyFont="1"/>
    <xf numFmtId="166" fontId="2" fillId="0" borderId="0" xfId="0" applyNumberFormat="1" applyFont="1"/>
    <xf numFmtId="0" fontId="6" fillId="0" borderId="0" xfId="0" applyFont="1"/>
    <xf numFmtId="0" fontId="0" fillId="0" borderId="0" xfId="0" applyAlignment="1">
      <alignment horizontal="left" indent="1"/>
    </xf>
    <xf numFmtId="166" fontId="8" fillId="0" borderId="0" xfId="0" applyNumberFormat="1" applyFont="1"/>
    <xf numFmtId="166" fontId="2" fillId="0" borderId="1" xfId="0" applyNumberFormat="1" applyFont="1" applyBorder="1"/>
    <xf numFmtId="167" fontId="0" fillId="0" borderId="0" xfId="0" applyNumberFormat="1"/>
    <xf numFmtId="167" fontId="2" fillId="0" borderId="0" xfId="0" applyNumberFormat="1" applyFont="1"/>
    <xf numFmtId="0" fontId="6" fillId="4" borderId="0" xfId="0" applyFont="1" applyFill="1"/>
    <xf numFmtId="9" fontId="6" fillId="4" borderId="0" xfId="1" applyFont="1" applyFill="1"/>
    <xf numFmtId="0" fontId="2" fillId="4" borderId="0" xfId="0" applyFont="1" applyFill="1"/>
    <xf numFmtId="10" fontId="0" fillId="0" borderId="0" xfId="0" applyNumberFormat="1"/>
    <xf numFmtId="168" fontId="0" fillId="0" borderId="0" xfId="0" applyNumberFormat="1"/>
    <xf numFmtId="9" fontId="0" fillId="0" borderId="0" xfId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0" fontId="12" fillId="0" borderId="0" xfId="0" applyFont="1"/>
    <xf numFmtId="0" fontId="2" fillId="0" borderId="0" xfId="0" applyFont="1" applyAlignment="1">
      <alignment horizontal="center"/>
    </xf>
    <xf numFmtId="0" fontId="13" fillId="0" borderId="0" xfId="0" applyFont="1"/>
    <xf numFmtId="173" fontId="13" fillId="0" borderId="0" xfId="0" applyNumberFormat="1" applyFont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167" fontId="0" fillId="0" borderId="0" xfId="1" applyNumberFormat="1" applyFont="1"/>
    <xf numFmtId="9" fontId="0" fillId="0" borderId="0" xfId="0" applyNumberFormat="1"/>
    <xf numFmtId="172" fontId="0" fillId="0" borderId="0" xfId="0" applyNumberFormat="1"/>
    <xf numFmtId="16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left"/>
    </xf>
    <xf numFmtId="166" fontId="0" fillId="0" borderId="1" xfId="0" applyNumberFormat="1" applyBorder="1"/>
    <xf numFmtId="174" fontId="7" fillId="0" borderId="0" xfId="0" applyNumberFormat="1" applyFont="1"/>
    <xf numFmtId="9" fontId="7" fillId="0" borderId="0" xfId="1" applyFont="1"/>
    <xf numFmtId="9" fontId="6" fillId="0" borderId="0" xfId="1" applyFont="1"/>
    <xf numFmtId="9" fontId="6" fillId="0" borderId="0" xfId="1" applyFont="1" applyFill="1"/>
    <xf numFmtId="5" fontId="8" fillId="0" borderId="0" xfId="0" applyNumberFormat="1" applyFont="1"/>
    <xf numFmtId="167" fontId="2" fillId="0" borderId="1" xfId="0" applyNumberFormat="1" applyFont="1" applyBorder="1"/>
    <xf numFmtId="0" fontId="0" fillId="4" borderId="17" xfId="0" applyFill="1" applyBorder="1" applyAlignment="1">
      <alignment horizontal="center"/>
    </xf>
    <xf numFmtId="0" fontId="0" fillId="4" borderId="17" xfId="0" applyFill="1" applyBorder="1"/>
    <xf numFmtId="0" fontId="0" fillId="4" borderId="0" xfId="0" applyFill="1"/>
    <xf numFmtId="167" fontId="2" fillId="4" borderId="0" xfId="0" applyNumberFormat="1" applyFont="1" applyFill="1"/>
    <xf numFmtId="0" fontId="10" fillId="4" borderId="0" xfId="0" applyFont="1" applyFill="1"/>
    <xf numFmtId="0" fontId="11" fillId="4" borderId="0" xfId="0" applyFont="1" applyFill="1"/>
    <xf numFmtId="165" fontId="9" fillId="5" borderId="0" xfId="0" applyNumberFormat="1" applyFont="1" applyFill="1"/>
    <xf numFmtId="0" fontId="8" fillId="4" borderId="0" xfId="0" applyFont="1" applyFill="1"/>
    <xf numFmtId="166" fontId="8" fillId="4" borderId="0" xfId="0" applyNumberFormat="1" applyFont="1" applyFill="1"/>
    <xf numFmtId="9" fontId="9" fillId="4" borderId="0" xfId="0" applyNumberFormat="1" applyFont="1" applyFill="1"/>
    <xf numFmtId="0" fontId="9" fillId="5" borderId="0" xfId="0" applyFont="1" applyFill="1"/>
    <xf numFmtId="0" fontId="0" fillId="5" borderId="13" xfId="0" applyFill="1" applyBorder="1" applyAlignment="1">
      <alignment horizontal="left" indent="1"/>
    </xf>
    <xf numFmtId="0" fontId="0" fillId="5" borderId="14" xfId="0" applyFill="1" applyBorder="1"/>
    <xf numFmtId="167" fontId="0" fillId="5" borderId="14" xfId="0" applyNumberFormat="1" applyFill="1" applyBorder="1"/>
    <xf numFmtId="167" fontId="0" fillId="5" borderId="15" xfId="0" applyNumberFormat="1" applyFill="1" applyBorder="1"/>
    <xf numFmtId="0" fontId="2" fillId="5" borderId="0" xfId="0" applyFont="1" applyFill="1"/>
    <xf numFmtId="0" fontId="0" fillId="5" borderId="0" xfId="0" applyFill="1"/>
    <xf numFmtId="167" fontId="0" fillId="5" borderId="0" xfId="0" applyNumberFormat="1" applyFill="1"/>
    <xf numFmtId="172" fontId="0" fillId="5" borderId="0" xfId="1" applyNumberFormat="1" applyFont="1" applyFill="1"/>
    <xf numFmtId="43" fontId="0" fillId="0" borderId="0" xfId="3" applyFont="1"/>
    <xf numFmtId="175" fontId="0" fillId="0" borderId="0" xfId="3" applyNumberFormat="1" applyFont="1"/>
    <xf numFmtId="175" fontId="0" fillId="0" borderId="0" xfId="0" applyNumberFormat="1"/>
    <xf numFmtId="43" fontId="0" fillId="0" borderId="0" xfId="0" applyNumberFormat="1"/>
    <xf numFmtId="44" fontId="8" fillId="4" borderId="0" xfId="2" applyFont="1" applyFill="1"/>
    <xf numFmtId="0" fontId="14" fillId="0" borderId="0" xfId="0" applyFont="1"/>
    <xf numFmtId="44" fontId="0" fillId="0" borderId="0" xfId="0" applyNumberFormat="1"/>
    <xf numFmtId="166" fontId="2" fillId="6" borderId="0" xfId="0" applyNumberFormat="1" applyFont="1" applyFill="1"/>
    <xf numFmtId="166" fontId="2" fillId="5" borderId="0" xfId="0" applyNumberFormat="1" applyFont="1" applyFill="1"/>
    <xf numFmtId="0" fontId="17" fillId="4" borderId="0" xfId="0" applyFont="1" applyFill="1"/>
    <xf numFmtId="0" fontId="18" fillId="0" borderId="0" xfId="0" applyFont="1" applyAlignment="1">
      <alignment horizontal="left"/>
    </xf>
    <xf numFmtId="0" fontId="18" fillId="0" borderId="0" xfId="0" applyFont="1"/>
    <xf numFmtId="166" fontId="18" fillId="0" borderId="1" xfId="0" applyNumberFormat="1" applyFont="1" applyBorder="1"/>
    <xf numFmtId="0" fontId="18" fillId="6" borderId="0" xfId="0" applyFont="1" applyFill="1" applyAlignment="1">
      <alignment horizontal="left"/>
    </xf>
    <xf numFmtId="0" fontId="18" fillId="6" borderId="0" xfId="0" applyFont="1" applyFill="1"/>
    <xf numFmtId="166" fontId="18" fillId="6" borderId="0" xfId="0" applyNumberFormat="1" applyFont="1" applyFill="1"/>
    <xf numFmtId="9" fontId="18" fillId="6" borderId="0" xfId="1" applyFont="1" applyFill="1" applyBorder="1"/>
    <xf numFmtId="44" fontId="18" fillId="6" borderId="0" xfId="2" applyFont="1" applyFill="1" applyBorder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1AE3-06E5-443E-BBFC-5AA1EDD4CC35}">
  <dimension ref="A1:M125"/>
  <sheetViews>
    <sheetView topLeftCell="B91" zoomScale="80" zoomScaleNormal="80" workbookViewId="0">
      <selection activeCell="D119" sqref="D119"/>
    </sheetView>
  </sheetViews>
  <sheetFormatPr defaultRowHeight="15" outlineLevelRow="1" x14ac:dyDescent="0.25"/>
  <cols>
    <col min="2" max="2" width="12.140625" customWidth="1"/>
    <col min="3" max="3" width="55.85546875" customWidth="1"/>
    <col min="4" max="4" width="16.140625" customWidth="1"/>
    <col min="5" max="12" width="22.28515625" customWidth="1"/>
  </cols>
  <sheetData>
    <row r="1" spans="2:12" x14ac:dyDescent="0.25">
      <c r="B1" s="20"/>
      <c r="C1" s="40" t="s">
        <v>0</v>
      </c>
    </row>
    <row r="2" spans="2:12" x14ac:dyDescent="0.25">
      <c r="C2" t="s">
        <v>1</v>
      </c>
      <c r="E2" s="28"/>
      <c r="F2" s="28"/>
      <c r="G2" s="28"/>
      <c r="H2" s="28"/>
      <c r="I2" s="28"/>
      <c r="J2" s="28"/>
      <c r="K2" s="28"/>
      <c r="L2" s="28"/>
    </row>
    <row r="3" spans="2:12" ht="15" customHeight="1" x14ac:dyDescent="0.25">
      <c r="C3" t="s">
        <v>2</v>
      </c>
      <c r="E3" s="41">
        <f t="shared" ref="E3:L3" si="0">YEAR(E4)</f>
        <v>2019</v>
      </c>
      <c r="F3" s="41">
        <f t="shared" si="0"/>
        <v>2020</v>
      </c>
      <c r="G3" s="41">
        <f t="shared" si="0"/>
        <v>2021</v>
      </c>
      <c r="H3" s="41">
        <f t="shared" si="0"/>
        <v>2022</v>
      </c>
      <c r="I3" s="41">
        <f t="shared" si="0"/>
        <v>2023</v>
      </c>
      <c r="J3" s="41">
        <f t="shared" si="0"/>
        <v>2024</v>
      </c>
      <c r="K3" s="41">
        <f t="shared" si="0"/>
        <v>2025</v>
      </c>
      <c r="L3" s="41">
        <f t="shared" si="0"/>
        <v>2026</v>
      </c>
    </row>
    <row r="4" spans="2:12" ht="15" customHeight="1" outlineLevel="1" x14ac:dyDescent="0.25">
      <c r="C4" s="42"/>
      <c r="D4" s="42"/>
      <c r="E4" s="43">
        <v>43830</v>
      </c>
      <c r="F4" s="43">
        <f t="shared" ref="F4:L4" si="1">EOMONTH(E4,12)</f>
        <v>44196</v>
      </c>
      <c r="G4" s="43">
        <f t="shared" si="1"/>
        <v>44561</v>
      </c>
      <c r="H4" s="43">
        <f t="shared" si="1"/>
        <v>44926</v>
      </c>
      <c r="I4" s="43">
        <f t="shared" si="1"/>
        <v>45291</v>
      </c>
      <c r="J4" s="43">
        <f t="shared" si="1"/>
        <v>45657</v>
      </c>
      <c r="K4" s="43">
        <f t="shared" si="1"/>
        <v>46022</v>
      </c>
      <c r="L4" s="43">
        <f t="shared" si="1"/>
        <v>46387</v>
      </c>
    </row>
    <row r="5" spans="2:12" ht="8.1" customHeight="1" x14ac:dyDescent="0.25"/>
    <row r="6" spans="2:12" ht="15" customHeight="1" x14ac:dyDescent="0.25">
      <c r="C6" s="44"/>
      <c r="D6" s="45"/>
      <c r="E6" s="45" t="s">
        <v>3</v>
      </c>
      <c r="F6" s="45"/>
      <c r="G6" s="45"/>
      <c r="H6" s="60" t="s">
        <v>4</v>
      </c>
      <c r="I6" s="60" t="s">
        <v>4</v>
      </c>
      <c r="J6" s="60" t="s">
        <v>4</v>
      </c>
      <c r="K6" s="60" t="s">
        <v>4</v>
      </c>
      <c r="L6" s="60" t="s">
        <v>4</v>
      </c>
    </row>
    <row r="7" spans="2:12" x14ac:dyDescent="0.25">
      <c r="C7" s="40" t="s">
        <v>5</v>
      </c>
      <c r="E7" s="28"/>
      <c r="F7" s="28"/>
      <c r="G7" s="28"/>
      <c r="H7" s="28"/>
      <c r="I7" s="28"/>
      <c r="J7" s="28"/>
      <c r="K7" s="28"/>
      <c r="L7" s="28"/>
    </row>
    <row r="8" spans="2:12" x14ac:dyDescent="0.25">
      <c r="C8" s="25" t="s">
        <v>6</v>
      </c>
      <c r="E8" s="28"/>
      <c r="F8" s="28"/>
      <c r="G8" s="28"/>
      <c r="H8" s="28"/>
      <c r="I8" s="28"/>
      <c r="J8" s="28"/>
      <c r="K8" s="28"/>
      <c r="L8" s="28"/>
    </row>
    <row r="9" spans="2:12" x14ac:dyDescent="0.25">
      <c r="C9" t="s">
        <v>7</v>
      </c>
      <c r="E9" s="35"/>
      <c r="F9" s="35"/>
      <c r="G9" s="35"/>
      <c r="H9" s="35"/>
      <c r="I9" s="35"/>
      <c r="J9" s="35"/>
      <c r="K9" s="35"/>
      <c r="L9" s="35"/>
    </row>
    <row r="10" spans="2:12" x14ac:dyDescent="0.25">
      <c r="C10" s="25" t="s">
        <v>8</v>
      </c>
      <c r="E10" s="28">
        <v>22364</v>
      </c>
      <c r="F10" s="28">
        <v>26905</v>
      </c>
      <c r="G10" s="28">
        <v>30659</v>
      </c>
      <c r="H10" s="28">
        <v>46286</v>
      </c>
      <c r="I10" s="28">
        <v>70017.600000000006</v>
      </c>
      <c r="J10" s="28">
        <v>76530</v>
      </c>
      <c r="K10" s="28">
        <v>87570</v>
      </c>
      <c r="L10" s="28">
        <v>99498</v>
      </c>
    </row>
    <row r="11" spans="2:12" ht="15.75" thickBot="1" x14ac:dyDescent="0.3">
      <c r="C11" s="25" t="s">
        <v>9</v>
      </c>
      <c r="E11" s="28">
        <v>3547</v>
      </c>
      <c r="F11" s="28">
        <v>3645</v>
      </c>
      <c r="G11" s="28">
        <v>15627</v>
      </c>
      <c r="H11" s="28">
        <v>22477</v>
      </c>
      <c r="I11" s="28">
        <v>1262.3999999999942</v>
      </c>
      <c r="J11" s="28">
        <v>0</v>
      </c>
      <c r="K11" s="28">
        <v>0</v>
      </c>
      <c r="L11" s="28">
        <v>0</v>
      </c>
    </row>
    <row r="12" spans="2:12" ht="15.75" thickBot="1" x14ac:dyDescent="0.3">
      <c r="C12" s="70" t="s">
        <v>10</v>
      </c>
      <c r="D12" s="71"/>
      <c r="E12" s="72">
        <v>0</v>
      </c>
      <c r="F12" s="72">
        <v>0</v>
      </c>
      <c r="G12" s="72">
        <v>0</v>
      </c>
      <c r="H12" s="72">
        <v>1000</v>
      </c>
      <c r="I12" s="72">
        <v>5250</v>
      </c>
      <c r="J12" s="72">
        <v>11040</v>
      </c>
      <c r="K12" s="72">
        <v>11928</v>
      </c>
      <c r="L12" s="73">
        <v>13368</v>
      </c>
    </row>
    <row r="13" spans="2:12" x14ac:dyDescent="0.25">
      <c r="C13" s="25" t="s">
        <v>11</v>
      </c>
      <c r="E13" s="46">
        <v>25911</v>
      </c>
      <c r="F13" s="46">
        <v>30550</v>
      </c>
      <c r="G13" s="46">
        <v>46286</v>
      </c>
      <c r="H13" s="46">
        <v>69763</v>
      </c>
      <c r="I13" s="46">
        <v>76530</v>
      </c>
      <c r="J13" s="46">
        <v>87570</v>
      </c>
      <c r="K13" s="46">
        <v>99498</v>
      </c>
      <c r="L13" s="46">
        <v>112866</v>
      </c>
    </row>
    <row r="14" spans="2:12" x14ac:dyDescent="0.25">
      <c r="C14" s="25" t="s">
        <v>12</v>
      </c>
      <c r="E14" s="47">
        <v>0.63606190421056696</v>
      </c>
      <c r="F14" s="47">
        <v>0.65270049099836336</v>
      </c>
      <c r="G14" s="47">
        <v>0.51179622348010201</v>
      </c>
      <c r="H14" s="47">
        <v>0.68124197633796402</v>
      </c>
      <c r="I14" s="47">
        <v>0.76060589783722155</v>
      </c>
      <c r="J14" s="47">
        <v>0.7893018284006813</v>
      </c>
      <c r="K14" s="47">
        <v>0.8179977589641414</v>
      </c>
      <c r="L14" s="47">
        <v>0.84383540836653137</v>
      </c>
    </row>
    <row r="15" spans="2:12" x14ac:dyDescent="0.25">
      <c r="C15" s="20" t="s">
        <v>13</v>
      </c>
      <c r="E15" s="28">
        <v>16481</v>
      </c>
      <c r="F15" s="28">
        <v>19940</v>
      </c>
      <c r="G15" s="28">
        <v>23689</v>
      </c>
      <c r="H15" s="28">
        <v>47525.483995265386</v>
      </c>
      <c r="I15" s="28">
        <v>58209.169361482564</v>
      </c>
      <c r="J15" s="28">
        <v>69119.161113047667</v>
      </c>
      <c r="K15" s="28">
        <v>81389.141021414136</v>
      </c>
      <c r="L15" s="28">
        <v>95240.327200696935</v>
      </c>
    </row>
    <row r="16" spans="2:12" x14ac:dyDescent="0.25">
      <c r="C16" s="74" t="s">
        <v>14</v>
      </c>
      <c r="D16" s="75"/>
      <c r="E16" s="76"/>
      <c r="F16" s="77">
        <f>(F15-E15)/E15</f>
        <v>0.20987804138098418</v>
      </c>
      <c r="G16" s="77">
        <f t="shared" ref="G16:L16" si="2">(G15-F15)/F15</f>
        <v>0.18801404212637915</v>
      </c>
      <c r="H16" s="77">
        <f t="shared" si="2"/>
        <v>1.0062258430185058</v>
      </c>
      <c r="I16" s="77">
        <f t="shared" si="2"/>
        <v>0.22479908604994986</v>
      </c>
      <c r="J16" s="77">
        <f t="shared" si="2"/>
        <v>0.18742737392133832</v>
      </c>
      <c r="K16" s="77">
        <f t="shared" si="2"/>
        <v>0.17751922492662106</v>
      </c>
      <c r="L16" s="77">
        <f t="shared" si="2"/>
        <v>0.17018469546985932</v>
      </c>
    </row>
    <row r="17" spans="3:12" x14ac:dyDescent="0.25">
      <c r="C17" s="20"/>
      <c r="E17" s="28"/>
      <c r="F17" s="28"/>
      <c r="G17" s="28"/>
      <c r="H17" s="28"/>
      <c r="I17" s="28"/>
      <c r="J17" s="28"/>
      <c r="K17" s="28"/>
      <c r="L17" s="28"/>
    </row>
    <row r="18" spans="3:12" x14ac:dyDescent="0.25">
      <c r="C18" s="25" t="s">
        <v>15</v>
      </c>
      <c r="E18" s="46"/>
      <c r="F18" s="46"/>
      <c r="G18" s="46"/>
      <c r="H18" s="46"/>
      <c r="I18" s="46"/>
      <c r="J18" s="46"/>
      <c r="K18" s="46"/>
      <c r="L18" s="46"/>
    </row>
    <row r="19" spans="3:12" x14ac:dyDescent="0.25">
      <c r="C19" s="25" t="s">
        <v>16</v>
      </c>
      <c r="E19" s="33">
        <v>0</v>
      </c>
      <c r="F19" s="33">
        <v>0</v>
      </c>
      <c r="G19" s="33">
        <v>2.1909209561020854E-3</v>
      </c>
      <c r="H19" s="33">
        <v>3.0503666233810149E-3</v>
      </c>
      <c r="I19" s="33">
        <v>6.9650031751378148E-3</v>
      </c>
      <c r="J19" s="33">
        <v>2.5196005058109667E-2</v>
      </c>
      <c r="K19" s="33">
        <v>5.5668254924474594E-2</v>
      </c>
      <c r="L19" s="33">
        <v>6.9617064706734511E-2</v>
      </c>
    </row>
    <row r="20" spans="3:12" x14ac:dyDescent="0.25">
      <c r="C20" s="25" t="s">
        <v>17</v>
      </c>
      <c r="E20" s="28">
        <v>0</v>
      </c>
      <c r="F20" s="28">
        <v>0</v>
      </c>
      <c r="G20" s="28">
        <v>788.73154419675075</v>
      </c>
      <c r="H20" s="28">
        <v>1098.1319844171653</v>
      </c>
      <c r="I20" s="28">
        <v>2507.4011430496134</v>
      </c>
      <c r="J20" s="28">
        <v>9070.5618209194799</v>
      </c>
      <c r="K20" s="28">
        <v>20040.571772810854</v>
      </c>
      <c r="L20" s="28">
        <v>25062.143294424422</v>
      </c>
    </row>
    <row r="21" spans="3:12" x14ac:dyDescent="0.25">
      <c r="C21" s="20" t="s">
        <v>18</v>
      </c>
      <c r="E21" s="28">
        <v>2329131</v>
      </c>
      <c r="F21" s="46">
        <v>6404009</v>
      </c>
      <c r="G21" s="46">
        <v>17387844</v>
      </c>
      <c r="H21" s="46">
        <v>39274195.713081852</v>
      </c>
      <c r="I21" s="28">
        <v>139640056.14906776</v>
      </c>
      <c r="J21" s="28">
        <v>590317794.54164541</v>
      </c>
      <c r="K21" s="28">
        <v>1526940687.2859542</v>
      </c>
      <c r="L21" s="28">
        <v>2227816045.2219281</v>
      </c>
    </row>
    <row r="22" spans="3:12" x14ac:dyDescent="0.25">
      <c r="C22" s="20"/>
      <c r="E22" s="28"/>
      <c r="F22" s="35"/>
      <c r="G22" s="35"/>
      <c r="H22" s="35"/>
      <c r="I22" s="28"/>
      <c r="J22" s="28"/>
      <c r="K22" s="28"/>
      <c r="L22" s="28"/>
    </row>
    <row r="23" spans="3:12" x14ac:dyDescent="0.25">
      <c r="C23" s="25" t="s">
        <v>19</v>
      </c>
      <c r="E23" s="28"/>
      <c r="F23" s="47"/>
      <c r="G23" s="47"/>
      <c r="H23" s="47"/>
      <c r="I23" s="28"/>
      <c r="J23" s="28"/>
      <c r="K23" s="28"/>
      <c r="L23" s="28"/>
    </row>
    <row r="24" spans="3:12" x14ac:dyDescent="0.25">
      <c r="C24" s="25" t="s">
        <v>20</v>
      </c>
      <c r="E24" s="36">
        <v>3.0090553798424624</v>
      </c>
      <c r="F24" s="36">
        <v>2.6857111797866229</v>
      </c>
      <c r="G24" s="36">
        <v>2.8603606749838386</v>
      </c>
      <c r="H24" s="36">
        <v>3.0460819441206546</v>
      </c>
      <c r="I24" s="36">
        <v>3.0982812153833361</v>
      </c>
      <c r="J24" s="36">
        <v>3.116764046827917</v>
      </c>
      <c r="K24" s="36">
        <v>3.4238801386140123</v>
      </c>
      <c r="L24" s="36">
        <v>3.547835018392743</v>
      </c>
    </row>
    <row r="25" spans="3:12" x14ac:dyDescent="0.25">
      <c r="C25" s="25" t="s">
        <v>21</v>
      </c>
      <c r="E25" s="28">
        <v>99278</v>
      </c>
      <c r="F25" s="28">
        <v>321965</v>
      </c>
      <c r="G25" s="28">
        <v>672905</v>
      </c>
      <c r="H25" s="28">
        <v>1538062.2408114909</v>
      </c>
      <c r="I25" s="28">
        <v>6775917.7610065741</v>
      </c>
      <c r="J25" s="28">
        <v>26029829.023575071</v>
      </c>
      <c r="K25" s="28">
        <v>47118098.043722242</v>
      </c>
      <c r="L25" s="28">
        <v>56507522.333828732</v>
      </c>
    </row>
    <row r="26" spans="3:12" x14ac:dyDescent="0.25">
      <c r="C26" s="20" t="s">
        <v>22</v>
      </c>
      <c r="E26" s="28">
        <v>991560</v>
      </c>
      <c r="F26" s="28">
        <v>2476892</v>
      </c>
      <c r="G26" s="28">
        <v>6184511</v>
      </c>
      <c r="H26" s="28">
        <v>12443621.345172675</v>
      </c>
      <c r="I26" s="28">
        <v>53205471.088504858</v>
      </c>
      <c r="J26" s="28">
        <v>145244061.82891697</v>
      </c>
      <c r="K26" s="28">
        <v>228716856.37772891</v>
      </c>
      <c r="L26" s="28">
        <v>268214514.43546355</v>
      </c>
    </row>
    <row r="27" spans="3:12" x14ac:dyDescent="0.25">
      <c r="C27" s="20" t="s">
        <v>23</v>
      </c>
      <c r="E27" s="28"/>
      <c r="F27" s="39">
        <f>(F25-E25)/E25</f>
        <v>2.2430649287858335</v>
      </c>
      <c r="G27" s="39">
        <f t="shared" ref="G27:L27" si="3">(G25-F25)/F25</f>
        <v>1.0899942540338237</v>
      </c>
      <c r="H27" s="39">
        <f t="shared" si="3"/>
        <v>1.2857048778230076</v>
      </c>
      <c r="I27" s="39">
        <f t="shared" si="3"/>
        <v>3.405489960816904</v>
      </c>
      <c r="J27" s="39">
        <f t="shared" si="3"/>
        <v>2.8415208008233406</v>
      </c>
      <c r="K27" s="39">
        <f t="shared" si="3"/>
        <v>0.81015780015487782</v>
      </c>
      <c r="L27" s="39">
        <f t="shared" si="3"/>
        <v>0.19927426360448108</v>
      </c>
    </row>
    <row r="28" spans="3:12" x14ac:dyDescent="0.25">
      <c r="C28" s="25" t="s">
        <v>24</v>
      </c>
      <c r="E28" s="28"/>
      <c r="F28" s="28"/>
      <c r="G28" s="28"/>
      <c r="H28" s="28"/>
      <c r="I28" s="28"/>
      <c r="J28" s="28"/>
      <c r="K28" s="28"/>
      <c r="L28" s="28"/>
    </row>
    <row r="29" spans="3:12" x14ac:dyDescent="0.25">
      <c r="C29" s="25" t="s">
        <v>25</v>
      </c>
      <c r="E29" s="34">
        <v>104.1333476129829</v>
      </c>
      <c r="F29" s="34">
        <v>111.259525695581</v>
      </c>
      <c r="G29" s="34">
        <v>148.343662014432</v>
      </c>
      <c r="H29" s="34">
        <v>219.55076069792804</v>
      </c>
      <c r="I29" s="34">
        <v>336.31400618779571</v>
      </c>
      <c r="J29" s="34">
        <v>355.68975806271561</v>
      </c>
      <c r="K29" s="34">
        <v>380.81798542234014</v>
      </c>
      <c r="L29" s="34">
        <v>403.13836907086278</v>
      </c>
    </row>
    <row r="30" spans="3:12" x14ac:dyDescent="0.25">
      <c r="C30" s="25" t="s">
        <v>26</v>
      </c>
      <c r="E30" s="34">
        <v>9.6406117093126458</v>
      </c>
      <c r="F30" s="34">
        <v>26.015824222585927</v>
      </c>
      <c r="G30" s="34">
        <v>30.710728514021518</v>
      </c>
      <c r="H30" s="34">
        <v>35.429584705726967</v>
      </c>
      <c r="I30" s="34">
        <v>145.64673052056273</v>
      </c>
      <c r="J30" s="34">
        <v>515.16441674806026</v>
      </c>
      <c r="K30" s="34">
        <v>1199.8012010763796</v>
      </c>
      <c r="L30" s="34">
        <v>1719.1350992016414</v>
      </c>
    </row>
    <row r="31" spans="3:12" x14ac:dyDescent="0.25">
      <c r="C31" s="25" t="s">
        <v>27</v>
      </c>
      <c r="E31" s="34">
        <v>113.77395932229555</v>
      </c>
      <c r="F31" s="34">
        <v>137.27534991816694</v>
      </c>
      <c r="G31" s="34">
        <v>179.05439052845352</v>
      </c>
      <c r="H31" s="34">
        <v>254.98034540365504</v>
      </c>
      <c r="I31" s="34">
        <v>481.96073670835841</v>
      </c>
      <c r="J31" s="34">
        <v>870.85417481077593</v>
      </c>
      <c r="K31" s="34">
        <v>1580.61918649872</v>
      </c>
      <c r="L31" s="34">
        <v>2122.273468272504</v>
      </c>
    </row>
    <row r="32" spans="3:12" x14ac:dyDescent="0.25">
      <c r="C32" s="20" t="s">
        <v>28</v>
      </c>
      <c r="E32" s="34">
        <v>0.10724939473133971</v>
      </c>
      <c r="F32" s="34">
        <v>0.12410716943089868</v>
      </c>
      <c r="G32" s="34">
        <v>8.1751180882460181E-2</v>
      </c>
      <c r="H32" s="34">
        <v>6.2933793371161006E-2</v>
      </c>
      <c r="I32" s="34">
        <v>7.9821969384198638E-2</v>
      </c>
      <c r="J32" s="34">
        <v>7.6421460426507659E-2</v>
      </c>
      <c r="K32" s="34">
        <v>7.8181045864253285E-2</v>
      </c>
      <c r="L32" s="34">
        <v>8.7095118343652828E-2</v>
      </c>
    </row>
    <row r="33" spans="3:12" x14ac:dyDescent="0.25">
      <c r="C33" s="20"/>
      <c r="E33" s="28"/>
      <c r="F33" s="28"/>
      <c r="G33" s="28"/>
      <c r="H33" s="28"/>
      <c r="I33" s="28"/>
      <c r="J33" s="28"/>
      <c r="K33" s="28"/>
      <c r="L33" s="28"/>
    </row>
    <row r="34" spans="3:12" x14ac:dyDescent="0.25">
      <c r="C34" s="25" t="s">
        <v>29</v>
      </c>
      <c r="E34" s="28"/>
      <c r="F34" s="28"/>
      <c r="G34" s="28"/>
      <c r="H34" s="28"/>
      <c r="I34" s="28"/>
      <c r="J34" s="28"/>
      <c r="K34" s="28"/>
      <c r="L34" s="28"/>
    </row>
    <row r="35" spans="3:12" x14ac:dyDescent="0.25">
      <c r="C35" s="25" t="s">
        <v>30</v>
      </c>
      <c r="E35" s="37">
        <v>0.2543384120515334</v>
      </c>
      <c r="F35" s="37">
        <v>0.17504237892232821</v>
      </c>
      <c r="G35" s="37">
        <v>8.824405026868197E-2</v>
      </c>
      <c r="H35" s="37">
        <v>6.6693114634872194E-2</v>
      </c>
      <c r="I35" s="38">
        <v>3.2058034868867123E-2</v>
      </c>
      <c r="J35" s="38">
        <v>1.2337381113179221E-2</v>
      </c>
      <c r="K35" s="38">
        <v>6.7605370514881337E-3</v>
      </c>
      <c r="L35" s="38">
        <v>5.3688181185865417E-3</v>
      </c>
    </row>
    <row r="36" spans="3:12" x14ac:dyDescent="0.25">
      <c r="C36" s="25" t="s">
        <v>31</v>
      </c>
      <c r="E36" s="37">
        <v>8.414388027122563E-2</v>
      </c>
      <c r="F36" s="37">
        <v>3.1295113732663395E-2</v>
      </c>
      <c r="G36" s="37">
        <v>1.197535703678961E-2</v>
      </c>
      <c r="H36" s="37">
        <v>4.9740476234417354E-3</v>
      </c>
      <c r="I36" s="38">
        <v>1.8791759826194544E-3</v>
      </c>
      <c r="J36" s="38">
        <v>7.2319187283760491E-4</v>
      </c>
      <c r="K36" s="38">
        <v>3.9628875908120768E-4</v>
      </c>
      <c r="L36" s="38">
        <v>3.1470906138722168E-4</v>
      </c>
    </row>
    <row r="37" spans="3:12" x14ac:dyDescent="0.25">
      <c r="C37" s="25" t="s">
        <v>32</v>
      </c>
      <c r="E37" s="37">
        <v>0</v>
      </c>
      <c r="F37" s="37">
        <v>2.2721870003618045E-2</v>
      </c>
      <c r="G37" s="37">
        <v>1.1945800755976416E-2</v>
      </c>
      <c r="H37" s="37">
        <v>7.0835923782562151E-3</v>
      </c>
      <c r="I37" s="38">
        <v>3.0525413220417082E-3</v>
      </c>
      <c r="J37" s="38">
        <v>1.1747559015331294E-3</v>
      </c>
      <c r="K37" s="38">
        <v>6.4373311693234191E-4</v>
      </c>
      <c r="L37" s="38">
        <v>5.1121471495519592E-4</v>
      </c>
    </row>
    <row r="38" spans="3:12" x14ac:dyDescent="0.25">
      <c r="C38" s="25" t="s">
        <v>33</v>
      </c>
      <c r="E38" s="37">
        <v>0.11529595372694795</v>
      </c>
      <c r="F38" s="37">
        <v>4.3660914592718404E-2</v>
      </c>
      <c r="G38" s="37">
        <v>6.1670187517210281E-3</v>
      </c>
      <c r="H38" s="37">
        <v>3.37859726214201E-3</v>
      </c>
      <c r="I38" s="38">
        <v>1.558361566604102E-3</v>
      </c>
      <c r="J38" s="38">
        <v>5.9972798201667358E-4</v>
      </c>
      <c r="K38" s="38">
        <v>3.2863402743608125E-4</v>
      </c>
      <c r="L38" s="38">
        <v>2.6098168051523734E-4</v>
      </c>
    </row>
    <row r="39" spans="3:12" x14ac:dyDescent="0.25">
      <c r="C39" s="20" t="s">
        <v>34</v>
      </c>
      <c r="E39" s="37">
        <v>0</v>
      </c>
      <c r="F39" s="37">
        <v>2.9644649156489324E-2</v>
      </c>
      <c r="G39" s="37">
        <v>3.6870586140524378E-4</v>
      </c>
      <c r="H39" s="37">
        <v>0</v>
      </c>
      <c r="I39" s="38">
        <v>0</v>
      </c>
      <c r="J39" s="38">
        <v>0</v>
      </c>
      <c r="K39" s="38">
        <v>0</v>
      </c>
      <c r="L39" s="38">
        <v>0</v>
      </c>
    </row>
    <row r="40" spans="3:12" x14ac:dyDescent="0.25">
      <c r="C40" s="20"/>
      <c r="E40" s="28"/>
      <c r="F40" s="28"/>
      <c r="G40" s="28"/>
      <c r="H40" s="28"/>
      <c r="I40" s="28" t="s">
        <v>35</v>
      </c>
      <c r="J40" s="28"/>
      <c r="K40" s="28"/>
      <c r="L40" s="28"/>
    </row>
    <row r="41" spans="3:12" x14ac:dyDescent="0.25">
      <c r="C41" s="25" t="s">
        <v>36</v>
      </c>
      <c r="E41" s="46"/>
      <c r="F41" s="46"/>
      <c r="G41" s="46"/>
      <c r="H41" s="46"/>
      <c r="I41" s="46"/>
      <c r="J41" s="46"/>
      <c r="K41" s="46"/>
      <c r="L41" s="46"/>
    </row>
    <row r="42" spans="3:12" x14ac:dyDescent="0.25">
      <c r="C42" s="25" t="s">
        <v>37</v>
      </c>
      <c r="E42" s="35">
        <f>E85/E67</f>
        <v>2.2105975188497924</v>
      </c>
      <c r="F42" s="35">
        <f t="shared" ref="F42:L42" si="4">F85/F67</f>
        <v>1.5254276999268686</v>
      </c>
      <c r="G42" s="35">
        <f t="shared" si="4"/>
        <v>1.5386039870631711</v>
      </c>
      <c r="H42" s="35">
        <f t="shared" si="4"/>
        <v>1.1777312025019882</v>
      </c>
      <c r="I42" s="35">
        <f t="shared" si="4"/>
        <v>0.74184501444680584</v>
      </c>
      <c r="J42" s="35">
        <f t="shared" si="4"/>
        <v>0.44152635132642432</v>
      </c>
      <c r="K42" s="35">
        <f t="shared" si="4"/>
        <v>0.25611969949105218</v>
      </c>
      <c r="L42" s="35">
        <f t="shared" si="4"/>
        <v>0.19433538477028181</v>
      </c>
    </row>
    <row r="43" spans="3:12" x14ac:dyDescent="0.25">
      <c r="C43" s="25" t="s">
        <v>38</v>
      </c>
      <c r="E43" s="35">
        <f>E86/E67</f>
        <v>0.46355182397895972</v>
      </c>
      <c r="F43" s="35">
        <f t="shared" ref="F43:L43" si="5">F86/F67</f>
        <v>0.21796178383031978</v>
      </c>
      <c r="G43" s="35">
        <f t="shared" si="5"/>
        <v>0.23588963390118478</v>
      </c>
      <c r="H43" s="35">
        <f t="shared" si="5"/>
        <v>0.17675560567213663</v>
      </c>
      <c r="I43" s="35">
        <f t="shared" si="5"/>
        <v>8.5065861623385031E-2</v>
      </c>
      <c r="J43" s="35">
        <f t="shared" si="5"/>
        <v>4.8051275269254935E-2</v>
      </c>
      <c r="K43" s="35">
        <f t="shared" si="5"/>
        <v>2.6438858605046103E-2</v>
      </c>
      <c r="L43" s="35">
        <f t="shared" si="5"/>
        <v>1.9045626604495429E-2</v>
      </c>
    </row>
    <row r="44" spans="3:12" x14ac:dyDescent="0.25">
      <c r="C44" s="25" t="s">
        <v>39</v>
      </c>
      <c r="E44" s="48">
        <f>E87/E67</f>
        <v>1.4678451624954673E-2</v>
      </c>
      <c r="F44" s="48">
        <f t="shared" ref="F44:L44" si="6">F87/F67</f>
        <v>1.2890991508332193E-2</v>
      </c>
      <c r="G44" s="48">
        <f t="shared" si="6"/>
        <v>7.6022573254829421E-3</v>
      </c>
      <c r="H44" s="48">
        <f t="shared" si="6"/>
        <v>4.3997213716595041E-3</v>
      </c>
      <c r="I44" s="48">
        <f t="shared" si="6"/>
        <v>3.9999999999999992E-3</v>
      </c>
      <c r="J44" s="48">
        <f t="shared" si="6"/>
        <v>3.0000000000000001E-3</v>
      </c>
      <c r="K44" s="48">
        <f t="shared" si="6"/>
        <v>3.0000000000000005E-3</v>
      </c>
      <c r="L44" s="48">
        <f t="shared" si="6"/>
        <v>3.0000000000000005E-3</v>
      </c>
    </row>
    <row r="45" spans="3:12" x14ac:dyDescent="0.25">
      <c r="C45" s="41"/>
      <c r="D45" s="41"/>
      <c r="E45" s="41"/>
      <c r="F45" s="41"/>
      <c r="G45" s="49"/>
      <c r="H45" s="49"/>
      <c r="I45" s="49"/>
      <c r="J45" s="28"/>
      <c r="K45" s="28"/>
      <c r="L45" s="28"/>
    </row>
    <row r="46" spans="3:12" x14ac:dyDescent="0.25">
      <c r="C46" s="41"/>
      <c r="D46" s="41"/>
      <c r="E46" s="41"/>
      <c r="F46" s="41"/>
      <c r="G46" s="49"/>
      <c r="H46" s="49"/>
      <c r="I46" s="49"/>
      <c r="J46" s="28"/>
      <c r="K46" s="28"/>
      <c r="L46" s="28"/>
    </row>
    <row r="47" spans="3:12" x14ac:dyDescent="0.25">
      <c r="C47" s="40" t="s">
        <v>0</v>
      </c>
      <c r="E47" s="41">
        <f t="shared" ref="E47:L47" si="7">YEAR(E48)</f>
        <v>2019</v>
      </c>
      <c r="F47" s="41">
        <f t="shared" si="7"/>
        <v>2020</v>
      </c>
      <c r="G47" s="41">
        <f t="shared" si="7"/>
        <v>2021</v>
      </c>
      <c r="H47" s="41">
        <f t="shared" si="7"/>
        <v>2022</v>
      </c>
      <c r="I47" s="41">
        <f t="shared" si="7"/>
        <v>2023</v>
      </c>
      <c r="J47" s="41">
        <f t="shared" si="7"/>
        <v>2024</v>
      </c>
      <c r="K47" s="41">
        <f t="shared" si="7"/>
        <v>2025</v>
      </c>
      <c r="L47" s="41">
        <f t="shared" si="7"/>
        <v>2026</v>
      </c>
    </row>
    <row r="48" spans="3:12" x14ac:dyDescent="0.25">
      <c r="C48" s="42"/>
      <c r="D48" s="42"/>
      <c r="E48" s="43">
        <v>43830</v>
      </c>
      <c r="F48" s="43">
        <f t="shared" ref="F48:L48" si="8">EOMONTH(E48,12)</f>
        <v>44196</v>
      </c>
      <c r="G48" s="43">
        <f t="shared" si="8"/>
        <v>44561</v>
      </c>
      <c r="H48" s="43">
        <f t="shared" si="8"/>
        <v>44926</v>
      </c>
      <c r="I48" s="43">
        <f t="shared" si="8"/>
        <v>45291</v>
      </c>
      <c r="J48" s="43">
        <f t="shared" si="8"/>
        <v>45657</v>
      </c>
      <c r="K48" s="43">
        <f t="shared" si="8"/>
        <v>46022</v>
      </c>
      <c r="L48" s="43">
        <f t="shared" si="8"/>
        <v>46387</v>
      </c>
    </row>
    <row r="50" spans="3:12" x14ac:dyDescent="0.25">
      <c r="C50" s="44" t="s">
        <v>40</v>
      </c>
      <c r="D50" s="45"/>
      <c r="E50" s="45"/>
      <c r="F50" s="45"/>
      <c r="G50" s="45"/>
      <c r="H50" s="59" t="s">
        <v>41</v>
      </c>
      <c r="I50" s="59" t="s">
        <v>41</v>
      </c>
      <c r="J50" s="59" t="s">
        <v>41</v>
      </c>
      <c r="K50" s="59" t="s">
        <v>41</v>
      </c>
      <c r="L50" s="59" t="s">
        <v>41</v>
      </c>
    </row>
    <row r="52" spans="3:12" x14ac:dyDescent="0.25">
      <c r="C52" s="20" t="s">
        <v>42</v>
      </c>
      <c r="G52" s="35"/>
    </row>
    <row r="53" spans="3:12" x14ac:dyDescent="0.25">
      <c r="C53" s="50" t="s">
        <v>43</v>
      </c>
      <c r="E53" s="21">
        <v>2698199.17</v>
      </c>
      <c r="F53" s="21">
        <v>3398978.51</v>
      </c>
      <c r="G53" s="21">
        <v>6866234.7399999993</v>
      </c>
      <c r="H53" s="21">
        <v>14885198.918569554</v>
      </c>
      <c r="I53" s="21">
        <v>23138916.493552007</v>
      </c>
      <c r="J53" s="21">
        <v>23675578.513552006</v>
      </c>
      <c r="K53" s="21">
        <v>23640027.913552005</v>
      </c>
      <c r="L53" s="21">
        <v>23625215.163552005</v>
      </c>
    </row>
    <row r="54" spans="3:12" x14ac:dyDescent="0.25">
      <c r="C54" s="50" t="s">
        <v>44</v>
      </c>
      <c r="E54" s="21">
        <v>0</v>
      </c>
      <c r="F54" s="21">
        <v>0</v>
      </c>
      <c r="G54" s="21">
        <v>0</v>
      </c>
      <c r="H54" s="21">
        <v>431320.80000000005</v>
      </c>
      <c r="I54" s="21">
        <v>2599194.3999999994</v>
      </c>
      <c r="J54" s="21">
        <v>7472173.5999999978</v>
      </c>
      <c r="K54" s="21">
        <v>14250600</v>
      </c>
      <c r="L54" s="21">
        <v>21875400</v>
      </c>
    </row>
    <row r="55" spans="3:12" x14ac:dyDescent="0.25">
      <c r="C55" s="51" t="s">
        <v>45</v>
      </c>
      <c r="E55" s="52">
        <f t="shared" ref="E55:L55" si="9">SUM(E53:E54)</f>
        <v>2698199.17</v>
      </c>
      <c r="F55" s="52">
        <f t="shared" si="9"/>
        <v>3398978.51</v>
      </c>
      <c r="G55" s="52">
        <f t="shared" si="9"/>
        <v>6866234.7399999993</v>
      </c>
      <c r="H55" s="52">
        <f t="shared" si="9"/>
        <v>15316519.718569554</v>
      </c>
      <c r="I55" s="52">
        <f t="shared" si="9"/>
        <v>25738110.893552005</v>
      </c>
      <c r="J55" s="52">
        <f t="shared" si="9"/>
        <v>31147752.113552004</v>
      </c>
      <c r="K55" s="52">
        <f t="shared" si="9"/>
        <v>37890627.913552001</v>
      </c>
      <c r="L55" s="52">
        <f t="shared" si="9"/>
        <v>45500615.163552001</v>
      </c>
    </row>
    <row r="56" spans="3:12" x14ac:dyDescent="0.25">
      <c r="C56" s="20" t="s">
        <v>46</v>
      </c>
      <c r="E56" s="53"/>
      <c r="F56" s="53"/>
      <c r="G56" s="54"/>
      <c r="H56" s="53"/>
      <c r="I56" s="53"/>
      <c r="J56" s="53"/>
      <c r="K56" s="53"/>
      <c r="L56" s="53"/>
    </row>
    <row r="57" spans="3:12" x14ac:dyDescent="0.25">
      <c r="C57" s="50" t="s">
        <v>47</v>
      </c>
      <c r="E57" s="21">
        <v>249797.88999999998</v>
      </c>
      <c r="F57" s="21">
        <v>794783.43</v>
      </c>
      <c r="G57" s="21">
        <v>1421476.78</v>
      </c>
      <c r="H57" s="21">
        <v>2291840.7121282509</v>
      </c>
      <c r="I57" s="21">
        <v>7395167.2426107172</v>
      </c>
      <c r="J57" s="21">
        <v>27987700.304249622</v>
      </c>
      <c r="K57" s="21">
        <v>69680630.543387771</v>
      </c>
      <c r="L57" s="21">
        <v>97901311.090322286</v>
      </c>
    </row>
    <row r="58" spans="3:12" x14ac:dyDescent="0.25">
      <c r="C58" s="50" t="s">
        <v>48</v>
      </c>
      <c r="E58" s="21">
        <v>0</v>
      </c>
      <c r="F58" s="21">
        <v>0</v>
      </c>
      <c r="G58" s="21">
        <v>0</v>
      </c>
      <c r="H58" s="21">
        <v>2013.5358532031087</v>
      </c>
      <c r="I58" s="21">
        <v>75142.592068757484</v>
      </c>
      <c r="J58" s="21">
        <v>441390.97275263089</v>
      </c>
      <c r="K58" s="21">
        <v>1293189.5264575253</v>
      </c>
      <c r="L58" s="21">
        <v>3247597.6347407661</v>
      </c>
    </row>
    <row r="59" spans="3:12" x14ac:dyDescent="0.25">
      <c r="C59" s="50" t="s">
        <v>49</v>
      </c>
      <c r="E59" s="21">
        <v>0</v>
      </c>
      <c r="F59" s="21">
        <v>0</v>
      </c>
      <c r="G59" s="21">
        <v>0</v>
      </c>
      <c r="H59" s="21">
        <v>162421.1447322297</v>
      </c>
      <c r="I59" s="21">
        <v>2827332.0722666406</v>
      </c>
      <c r="J59" s="21">
        <v>8728908.3155624308</v>
      </c>
      <c r="K59" s="21">
        <v>17177332.100011069</v>
      </c>
      <c r="L59" s="21">
        <v>28930472.993354816</v>
      </c>
    </row>
    <row r="60" spans="3:12" x14ac:dyDescent="0.25">
      <c r="C60" s="50" t="s">
        <v>50</v>
      </c>
      <c r="E60" s="21">
        <v>0</v>
      </c>
      <c r="F60" s="21">
        <v>0</v>
      </c>
      <c r="G60" s="21">
        <v>0</v>
      </c>
      <c r="H60" s="21">
        <v>15398.725111946707</v>
      </c>
      <c r="I60" s="21">
        <v>848702.37979254976</v>
      </c>
      <c r="J60" s="21">
        <v>7954948.3820629492</v>
      </c>
      <c r="K60" s="21">
        <v>31226667.734841276</v>
      </c>
      <c r="L60" s="21">
        <v>63952520.388074592</v>
      </c>
    </row>
    <row r="61" spans="3:12" x14ac:dyDescent="0.25">
      <c r="C61" s="51" t="s">
        <v>51</v>
      </c>
      <c r="E61" s="52">
        <f t="shared" ref="E61:L61" si="10">SUM(E57:E60)</f>
        <v>249797.88999999998</v>
      </c>
      <c r="F61" s="52">
        <f t="shared" si="10"/>
        <v>794783.43</v>
      </c>
      <c r="G61" s="52">
        <f t="shared" si="10"/>
        <v>1421476.78</v>
      </c>
      <c r="H61" s="52">
        <f t="shared" si="10"/>
        <v>2471674.1178256306</v>
      </c>
      <c r="I61" s="52">
        <f t="shared" si="10"/>
        <v>11146344.286738666</v>
      </c>
      <c r="J61" s="52">
        <f t="shared" si="10"/>
        <v>45112947.974627636</v>
      </c>
      <c r="K61" s="52">
        <f t="shared" si="10"/>
        <v>119377819.90469763</v>
      </c>
      <c r="L61" s="52">
        <f t="shared" si="10"/>
        <v>194031902.10649246</v>
      </c>
    </row>
    <row r="62" spans="3:12" x14ac:dyDescent="0.25">
      <c r="C62" s="20" t="s">
        <v>52</v>
      </c>
      <c r="E62" s="22"/>
      <c r="F62" s="22"/>
      <c r="G62" s="22"/>
      <c r="H62" s="22"/>
      <c r="I62" s="22"/>
      <c r="J62" s="22"/>
      <c r="K62" s="22"/>
      <c r="L62" s="22"/>
    </row>
    <row r="63" spans="3:12" x14ac:dyDescent="0.25">
      <c r="C63" s="50" t="s">
        <v>53</v>
      </c>
      <c r="E63" s="21">
        <v>4382827.2496336997</v>
      </c>
      <c r="F63" s="21">
        <v>5939843.3699999992</v>
      </c>
      <c r="G63" s="21">
        <v>5740808.620000001</v>
      </c>
      <c r="H63" s="21">
        <v>5287788.13</v>
      </c>
      <c r="I63" s="21">
        <v>3558393.5066666668</v>
      </c>
      <c r="J63" s="21">
        <v>1527569.8899999997</v>
      </c>
      <c r="K63" s="21">
        <v>763579.89999999991</v>
      </c>
      <c r="L63" s="21">
        <v>14505.81</v>
      </c>
    </row>
    <row r="64" spans="3:12" x14ac:dyDescent="0.25">
      <c r="C64" s="50" t="s">
        <v>54</v>
      </c>
      <c r="E64" s="21">
        <v>0</v>
      </c>
      <c r="F64" s="21">
        <v>0</v>
      </c>
      <c r="G64" s="21">
        <v>0</v>
      </c>
      <c r="H64" s="21">
        <v>749433.69809101126</v>
      </c>
      <c r="I64" s="21">
        <v>2194702.1563873156</v>
      </c>
      <c r="J64" s="21">
        <v>3799575.0484522232</v>
      </c>
      <c r="K64" s="21">
        <v>3968157.8412937955</v>
      </c>
      <c r="L64" s="21">
        <v>4382992.7958012642</v>
      </c>
    </row>
    <row r="65" spans="3:12" x14ac:dyDescent="0.25">
      <c r="C65" s="51" t="s">
        <v>55</v>
      </c>
      <c r="E65" s="52">
        <f t="shared" ref="E65:G65" si="11">SUM(E63:E64)</f>
        <v>4382827.2496336997</v>
      </c>
      <c r="F65" s="52">
        <f t="shared" si="11"/>
        <v>5939843.3699999992</v>
      </c>
      <c r="G65" s="52">
        <f t="shared" si="11"/>
        <v>5740808.620000001</v>
      </c>
      <c r="H65" s="52">
        <f>SUM(H63:H64)</f>
        <v>6037221.8280910114</v>
      </c>
      <c r="I65" s="52">
        <f>SUM(I63:I64)</f>
        <v>5753095.663053982</v>
      </c>
      <c r="J65" s="52">
        <f>SUM(J63:J64)</f>
        <v>5327144.9384522233</v>
      </c>
      <c r="K65" s="52">
        <f>SUM(K63:K64)</f>
        <v>4731737.7412937954</v>
      </c>
      <c r="L65" s="52">
        <f>SUM(L63:L64)</f>
        <v>4397498.6058012638</v>
      </c>
    </row>
    <row r="66" spans="3:12" x14ac:dyDescent="0.25">
      <c r="C66" s="51"/>
      <c r="E66" s="22"/>
      <c r="F66" s="22"/>
      <c r="G66" s="22"/>
      <c r="H66" s="22"/>
      <c r="I66" s="22"/>
      <c r="J66" s="22"/>
      <c r="K66" s="22"/>
      <c r="L66" s="22"/>
    </row>
    <row r="67" spans="3:12" x14ac:dyDescent="0.25">
      <c r="C67" s="20" t="s">
        <v>56</v>
      </c>
      <c r="D67" s="20"/>
      <c r="E67" s="23">
        <f t="shared" ref="E67:L67" si="12">E65+E61+E55</f>
        <v>7330824.3096336992</v>
      </c>
      <c r="F67" s="23">
        <f t="shared" si="12"/>
        <v>10133605.309999999</v>
      </c>
      <c r="G67" s="23">
        <f t="shared" si="12"/>
        <v>14028520.140000001</v>
      </c>
      <c r="H67" s="86">
        <f t="shared" si="12"/>
        <v>23825415.664486196</v>
      </c>
      <c r="I67" s="86">
        <f t="shared" si="12"/>
        <v>42637550.843344651</v>
      </c>
      <c r="J67" s="86">
        <f t="shared" si="12"/>
        <v>81587845.026631862</v>
      </c>
      <c r="K67" s="86">
        <f t="shared" si="12"/>
        <v>162000185.55954343</v>
      </c>
      <c r="L67" s="86">
        <f t="shared" si="12"/>
        <v>243930015.87584573</v>
      </c>
    </row>
    <row r="68" spans="3:12" x14ac:dyDescent="0.25">
      <c r="C68" s="20"/>
      <c r="E68" s="22"/>
      <c r="F68" s="54"/>
      <c r="G68" s="54"/>
      <c r="H68" s="22"/>
      <c r="I68" s="22"/>
      <c r="J68" s="22"/>
      <c r="K68" s="22"/>
      <c r="L68" s="22"/>
    </row>
    <row r="69" spans="3:12" x14ac:dyDescent="0.25">
      <c r="C69" s="50" t="s">
        <v>57</v>
      </c>
      <c r="D69" s="24"/>
      <c r="E69" s="55">
        <f t="shared" ref="E69:L69" si="13">E55/E67</f>
        <v>0.36806217909958633</v>
      </c>
      <c r="F69" s="55">
        <f t="shared" si="13"/>
        <v>0.3354165083423799</v>
      </c>
      <c r="G69" s="55">
        <f t="shared" si="13"/>
        <v>0.48944825765492317</v>
      </c>
      <c r="H69" s="55">
        <f t="shared" si="13"/>
        <v>0.642864743023146</v>
      </c>
      <c r="I69" s="55">
        <f t="shared" si="13"/>
        <v>0.60364890535380034</v>
      </c>
      <c r="J69" s="55">
        <f t="shared" si="13"/>
        <v>0.38176951607662601</v>
      </c>
      <c r="K69" s="55">
        <f t="shared" si="13"/>
        <v>0.23389249699115461</v>
      </c>
      <c r="L69" s="55">
        <f t="shared" si="13"/>
        <v>0.1865314319772384</v>
      </c>
    </row>
    <row r="70" spans="3:12" x14ac:dyDescent="0.25">
      <c r="C70" s="50" t="s">
        <v>58</v>
      </c>
      <c r="D70" s="24"/>
      <c r="E70" s="55">
        <f t="shared" ref="E70:L70" si="14">E61/E67</f>
        <v>3.407500704548759E-2</v>
      </c>
      <c r="F70" s="55">
        <f t="shared" si="14"/>
        <v>7.8430470270605013E-2</v>
      </c>
      <c r="G70" s="55">
        <f t="shared" si="14"/>
        <v>0.10132763583144415</v>
      </c>
      <c r="H70" s="55">
        <f t="shared" si="14"/>
        <v>0.10374107015097624</v>
      </c>
      <c r="I70" s="55">
        <f t="shared" si="14"/>
        <v>0.26142083835189406</v>
      </c>
      <c r="J70" s="55">
        <f t="shared" si="14"/>
        <v>0.55293711900224707</v>
      </c>
      <c r="K70" s="55">
        <f t="shared" si="14"/>
        <v>0.73689927880249317</v>
      </c>
      <c r="L70" s="55">
        <f t="shared" si="14"/>
        <v>0.79544086204319286</v>
      </c>
    </row>
    <row r="71" spans="3:12" x14ac:dyDescent="0.25">
      <c r="C71" s="50" t="s">
        <v>59</v>
      </c>
      <c r="D71" s="24"/>
      <c r="E71" s="55">
        <f t="shared" ref="E71:L71" si="15">E65/E67</f>
        <v>0.59786281385492612</v>
      </c>
      <c r="F71" s="55">
        <f t="shared" si="15"/>
        <v>0.58615302138701508</v>
      </c>
      <c r="G71" s="55">
        <f t="shared" si="15"/>
        <v>0.40922410651363267</v>
      </c>
      <c r="H71" s="55">
        <f t="shared" si="15"/>
        <v>0.25339418682587783</v>
      </c>
      <c r="I71" s="55">
        <f t="shared" si="15"/>
        <v>0.13493025629430566</v>
      </c>
      <c r="J71" s="55">
        <f t="shared" si="15"/>
        <v>6.5293364921126903E-2</v>
      </c>
      <c r="K71" s="55">
        <f t="shared" si="15"/>
        <v>2.9208224206352145E-2</v>
      </c>
      <c r="L71" s="55">
        <f t="shared" si="15"/>
        <v>1.8027705979568667E-2</v>
      </c>
    </row>
    <row r="72" spans="3:12" x14ac:dyDescent="0.25">
      <c r="C72" s="20"/>
      <c r="E72" s="22"/>
      <c r="F72" s="22"/>
      <c r="G72" s="22"/>
      <c r="H72" s="22"/>
      <c r="I72" s="22"/>
      <c r="J72" s="22"/>
      <c r="K72" s="22"/>
      <c r="L72" s="22"/>
    </row>
    <row r="73" spans="3:12" x14ac:dyDescent="0.25">
      <c r="C73" s="20" t="s">
        <v>60</v>
      </c>
      <c r="E73" s="22"/>
      <c r="F73" s="22"/>
      <c r="G73" s="22"/>
      <c r="H73" s="22"/>
      <c r="I73" s="22"/>
      <c r="J73" s="22"/>
      <c r="K73" s="22"/>
      <c r="L73" s="22"/>
    </row>
    <row r="74" spans="3:12" x14ac:dyDescent="0.25">
      <c r="C74" s="25" t="s">
        <v>61</v>
      </c>
      <c r="E74" s="26">
        <v>592387.48</v>
      </c>
      <c r="F74" s="26">
        <v>1120972.9700000002</v>
      </c>
      <c r="G74" s="26">
        <v>1534373.7800000003</v>
      </c>
      <c r="H74" s="26">
        <v>2619318.4368849741</v>
      </c>
      <c r="I74" s="26">
        <v>4476585.7891173773</v>
      </c>
      <c r="J74" s="26">
        <v>7282975.609151708</v>
      </c>
      <c r="K74" s="26">
        <v>10322939.091821449</v>
      </c>
      <c r="L74" s="26">
        <v>11960739.148465302</v>
      </c>
    </row>
    <row r="75" spans="3:12" x14ac:dyDescent="0.25">
      <c r="C75" s="25" t="s">
        <v>62</v>
      </c>
      <c r="E75" s="26">
        <v>195982.12000000002</v>
      </c>
      <c r="F75" s="26">
        <v>200414.18999999997</v>
      </c>
      <c r="G75" s="26">
        <v>208225.64</v>
      </c>
      <c r="H75" s="26">
        <v>195351.71984924038</v>
      </c>
      <c r="I75" s="26">
        <v>262408.23972696019</v>
      </c>
      <c r="J75" s="26">
        <v>426913.03140393703</v>
      </c>
      <c r="K75" s="26">
        <v>605109.43015515723</v>
      </c>
      <c r="L75" s="26">
        <v>701113.89653518517</v>
      </c>
    </row>
    <row r="76" spans="3:12" x14ac:dyDescent="0.25">
      <c r="C76" s="25" t="s">
        <v>63</v>
      </c>
      <c r="E76" s="26">
        <v>0</v>
      </c>
      <c r="F76" s="26">
        <v>145511.06</v>
      </c>
      <c r="G76" s="26">
        <v>207711.72</v>
      </c>
      <c r="H76" s="26">
        <v>278202.39341532951</v>
      </c>
      <c r="I76" s="26">
        <v>426257.04160725366</v>
      </c>
      <c r="J76" s="26">
        <v>693479.31291781925</v>
      </c>
      <c r="K76" s="26">
        <v>982942.28799739969</v>
      </c>
      <c r="L76" s="26">
        <v>1138892.3445307398</v>
      </c>
    </row>
    <row r="77" spans="3:12" x14ac:dyDescent="0.25">
      <c r="C77" s="25" t="s">
        <v>64</v>
      </c>
      <c r="E77" s="26">
        <v>268539.38</v>
      </c>
      <c r="F77" s="26">
        <v>279604.89</v>
      </c>
      <c r="G77" s="26">
        <v>107231.15999999997</v>
      </c>
      <c r="H77" s="26">
        <v>132691.69010904781</v>
      </c>
      <c r="I77" s="26">
        <v>217609.69666114601</v>
      </c>
      <c r="J77" s="26">
        <v>354030.09966899431</v>
      </c>
      <c r="K77" s="26">
        <v>501804.66771880101</v>
      </c>
      <c r="L77" s="26">
        <v>581419.17536082875</v>
      </c>
    </row>
    <row r="78" spans="3:12" x14ac:dyDescent="0.25">
      <c r="C78" s="25" t="s">
        <v>65</v>
      </c>
      <c r="E78" s="26">
        <v>0</v>
      </c>
      <c r="F78" s="26">
        <v>189844.60000000003</v>
      </c>
      <c r="G78" s="26">
        <v>6411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3:12" x14ac:dyDescent="0.25">
      <c r="C79" s="20" t="s">
        <v>66</v>
      </c>
      <c r="E79" s="27">
        <f t="shared" ref="E79:F79" si="16">SUM(E74:E78)</f>
        <v>1056908.98</v>
      </c>
      <c r="F79" s="27">
        <f t="shared" si="16"/>
        <v>1936347.7100000004</v>
      </c>
      <c r="G79" s="27">
        <f t="shared" ref="G79:L79" si="17">SUM(G74:G78)</f>
        <v>2063953.3000000003</v>
      </c>
      <c r="H79" s="27">
        <f t="shared" si="17"/>
        <v>3225564.2402585922</v>
      </c>
      <c r="I79" s="27">
        <f t="shared" si="17"/>
        <v>5382860.7671127375</v>
      </c>
      <c r="J79" s="27">
        <f t="shared" si="17"/>
        <v>8757398.0531424582</v>
      </c>
      <c r="K79" s="27">
        <f t="shared" si="17"/>
        <v>12412795.477692809</v>
      </c>
      <c r="L79" s="27">
        <f t="shared" si="17"/>
        <v>14382164.564892054</v>
      </c>
    </row>
    <row r="80" spans="3:12" x14ac:dyDescent="0.25">
      <c r="C80" s="20"/>
      <c r="E80" s="22"/>
      <c r="F80" s="22"/>
      <c r="G80" s="22"/>
      <c r="H80" s="22"/>
      <c r="I80" s="22"/>
      <c r="J80" s="22"/>
      <c r="K80" s="22"/>
      <c r="L80" s="22"/>
    </row>
    <row r="81" spans="3:13" x14ac:dyDescent="0.25">
      <c r="C81" s="20" t="s">
        <v>67</v>
      </c>
      <c r="E81" s="23">
        <f t="shared" ref="E81:L81" si="18">E67-E79</f>
        <v>6273915.3296336997</v>
      </c>
      <c r="F81" s="23">
        <f t="shared" si="18"/>
        <v>8197257.5999999978</v>
      </c>
      <c r="G81" s="23">
        <f t="shared" si="18"/>
        <v>11964566.84</v>
      </c>
      <c r="H81" s="23">
        <f t="shared" si="18"/>
        <v>20599851.424227603</v>
      </c>
      <c r="I81" s="23">
        <f t="shared" si="18"/>
        <v>37254690.076231912</v>
      </c>
      <c r="J81" s="23">
        <f t="shared" si="18"/>
        <v>72830446.973489404</v>
      </c>
      <c r="K81" s="23">
        <f t="shared" si="18"/>
        <v>149587390.08185062</v>
      </c>
      <c r="L81" s="23">
        <f t="shared" si="18"/>
        <v>229547851.31095368</v>
      </c>
    </row>
    <row r="82" spans="3:13" x14ac:dyDescent="0.25">
      <c r="C82" s="24" t="s">
        <v>68</v>
      </c>
      <c r="D82" s="24"/>
      <c r="E82" s="55">
        <f t="shared" ref="E82:L82" si="19">E81/E67</f>
        <v>0.8558267207944027</v>
      </c>
      <c r="F82" s="55">
        <f t="shared" si="19"/>
        <v>0.80891818353245093</v>
      </c>
      <c r="G82" s="55">
        <f t="shared" si="19"/>
        <v>0.85287448145617439</v>
      </c>
      <c r="H82" s="55">
        <f t="shared" si="19"/>
        <v>0.86461666458702879</v>
      </c>
      <c r="I82" s="55">
        <f t="shared" si="19"/>
        <v>0.87375304958556366</v>
      </c>
      <c r="J82" s="55">
        <f t="shared" si="19"/>
        <v>0.89266295671513485</v>
      </c>
      <c r="K82" s="55">
        <f t="shared" si="19"/>
        <v>0.92337789345845855</v>
      </c>
      <c r="L82" s="55">
        <f t="shared" si="19"/>
        <v>0.94103979162526596</v>
      </c>
    </row>
    <row r="83" spans="3:13" x14ac:dyDescent="0.25">
      <c r="C83" s="20"/>
      <c r="E83" s="22"/>
      <c r="F83" s="22"/>
      <c r="G83" s="22"/>
      <c r="H83" s="22"/>
      <c r="I83" s="22"/>
      <c r="J83" s="22"/>
      <c r="K83" s="22"/>
      <c r="L83" s="22"/>
    </row>
    <row r="84" spans="3:13" x14ac:dyDescent="0.25">
      <c r="C84" s="20" t="s">
        <v>69</v>
      </c>
      <c r="E84" s="22"/>
      <c r="F84" s="22"/>
      <c r="G84" s="22"/>
      <c r="H84" s="22"/>
      <c r="I84" s="22"/>
      <c r="J84" s="22"/>
      <c r="K84" s="22"/>
      <c r="L84" s="22"/>
    </row>
    <row r="85" spans="3:13" x14ac:dyDescent="0.25">
      <c r="C85" s="25" t="s">
        <v>70</v>
      </c>
      <c r="E85" s="26">
        <v>16205502.029999997</v>
      </c>
      <c r="F85" s="26">
        <v>15458082.24</v>
      </c>
      <c r="G85" s="26">
        <v>21584337.019999996</v>
      </c>
      <c r="H85" s="26">
        <v>28059935.440645032</v>
      </c>
      <c r="I85" s="26">
        <v>31630454.521357432</v>
      </c>
      <c r="J85" s="26">
        <v>36023183.527194522</v>
      </c>
      <c r="K85" s="26">
        <v>41491438.843004957</v>
      </c>
      <c r="L85" s="26">
        <v>47404233.49225343</v>
      </c>
    </row>
    <row r="86" spans="3:13" x14ac:dyDescent="0.25">
      <c r="C86" s="25" t="s">
        <v>71</v>
      </c>
      <c r="E86" s="26">
        <v>3398216.9799999995</v>
      </c>
      <c r="F86" s="26">
        <v>2208738.6900000004</v>
      </c>
      <c r="G86" s="26">
        <v>3309182.4799999977</v>
      </c>
      <c r="H86" s="26">
        <v>4211275.7761666691</v>
      </c>
      <c r="I86" s="26">
        <v>3627000</v>
      </c>
      <c r="J86" s="26">
        <v>3920400</v>
      </c>
      <c r="K86" s="26">
        <v>4283100</v>
      </c>
      <c r="L86" s="26">
        <v>4645800</v>
      </c>
    </row>
    <row r="87" spans="3:13" x14ac:dyDescent="0.25">
      <c r="C87" s="25" t="s">
        <v>72</v>
      </c>
      <c r="E87" s="26">
        <v>107605.15</v>
      </c>
      <c r="F87" s="26">
        <v>130632.22</v>
      </c>
      <c r="G87" s="26">
        <v>106648.42</v>
      </c>
      <c r="H87" s="26">
        <v>104825.19048771105</v>
      </c>
      <c r="I87" s="26">
        <v>170550.20337337858</v>
      </c>
      <c r="J87" s="26">
        <v>244763.53507989561</v>
      </c>
      <c r="K87" s="26">
        <v>486000.55667863035</v>
      </c>
      <c r="L87" s="26">
        <v>731790.04762753728</v>
      </c>
    </row>
    <row r="88" spans="3:13" x14ac:dyDescent="0.25">
      <c r="C88" s="20" t="s">
        <v>73</v>
      </c>
      <c r="E88" s="27">
        <f t="shared" ref="E88:L88" si="20">SUM(E85:E87)</f>
        <v>19711324.159999996</v>
      </c>
      <c r="F88" s="27">
        <f t="shared" si="20"/>
        <v>17797453.149999999</v>
      </c>
      <c r="G88" s="27">
        <f t="shared" si="20"/>
        <v>25000167.919999994</v>
      </c>
      <c r="H88" s="27">
        <f t="shared" si="20"/>
        <v>32376036.407299414</v>
      </c>
      <c r="I88" s="27">
        <f t="shared" si="20"/>
        <v>35428004.724730812</v>
      </c>
      <c r="J88" s="27">
        <f t="shared" si="20"/>
        <v>40188347.062274419</v>
      </c>
      <c r="K88" s="27">
        <f t="shared" si="20"/>
        <v>46260539.399683587</v>
      </c>
      <c r="L88" s="27">
        <f t="shared" si="20"/>
        <v>52781823.539880969</v>
      </c>
    </row>
    <row r="89" spans="3:13" x14ac:dyDescent="0.25">
      <c r="C89" s="20"/>
      <c r="E89" s="22"/>
      <c r="F89" s="22"/>
      <c r="G89" s="22"/>
      <c r="H89" s="22"/>
      <c r="I89" s="22"/>
      <c r="J89" s="22"/>
      <c r="K89" s="22"/>
      <c r="L89" s="22"/>
    </row>
    <row r="90" spans="3:13" x14ac:dyDescent="0.25">
      <c r="C90" s="20" t="s">
        <v>74</v>
      </c>
      <c r="E90" s="23">
        <f t="shared" ref="E90:L90" si="21">E81-E88</f>
        <v>-13437408.830366297</v>
      </c>
      <c r="F90" s="23">
        <f t="shared" si="21"/>
        <v>-9600195.5500000007</v>
      </c>
      <c r="G90" s="23">
        <f t="shared" si="21"/>
        <v>-13035601.079999994</v>
      </c>
      <c r="H90" s="23">
        <f t="shared" si="21"/>
        <v>-11776184.983071811</v>
      </c>
      <c r="I90" s="23">
        <f t="shared" si="21"/>
        <v>1826685.3515010998</v>
      </c>
      <c r="J90" s="23">
        <f t="shared" si="21"/>
        <v>32642099.911214985</v>
      </c>
      <c r="K90" s="23">
        <f t="shared" si="21"/>
        <v>103326850.68216702</v>
      </c>
      <c r="L90" s="23">
        <f t="shared" si="21"/>
        <v>176766027.77107272</v>
      </c>
    </row>
    <row r="91" spans="3:13" x14ac:dyDescent="0.25">
      <c r="C91" s="24" t="s">
        <v>75</v>
      </c>
      <c r="D91" s="24"/>
      <c r="E91" s="56">
        <f t="shared" ref="E91:L91" si="22">E90/E67</f>
        <v>-1.8330010736593041</v>
      </c>
      <c r="F91" s="56">
        <f t="shared" si="22"/>
        <v>-0.94736229173306952</v>
      </c>
      <c r="G91" s="56">
        <f t="shared" si="22"/>
        <v>-0.92922139683366445</v>
      </c>
      <c r="H91" s="56">
        <f t="shared" si="22"/>
        <v>-0.49426986495875558</v>
      </c>
      <c r="I91" s="56">
        <f t="shared" si="22"/>
        <v>4.2842173515372763E-2</v>
      </c>
      <c r="J91" s="56">
        <f t="shared" si="22"/>
        <v>0.40008533011945552</v>
      </c>
      <c r="K91" s="56">
        <f t="shared" si="22"/>
        <v>0.63781933536236024</v>
      </c>
      <c r="L91" s="56">
        <f t="shared" si="22"/>
        <v>0.72465878025048869</v>
      </c>
      <c r="M91" s="83" t="s">
        <v>76</v>
      </c>
    </row>
    <row r="92" spans="3:13" x14ac:dyDescent="0.25">
      <c r="C92" s="20"/>
      <c r="E92" s="28"/>
      <c r="F92" s="28"/>
      <c r="G92" s="28"/>
      <c r="H92" s="28"/>
      <c r="I92" s="28"/>
      <c r="J92" s="28"/>
      <c r="K92" s="28"/>
      <c r="L92" s="28"/>
    </row>
    <row r="93" spans="3:13" x14ac:dyDescent="0.25">
      <c r="C93" s="25" t="s">
        <v>77</v>
      </c>
      <c r="E93" s="57">
        <v>4341.3899999999994</v>
      </c>
      <c r="F93" s="57">
        <v>-10289.200000000001</v>
      </c>
      <c r="G93" s="57">
        <v>2095026.0199999998</v>
      </c>
      <c r="H93" s="57">
        <v>-33238.9550544862</v>
      </c>
      <c r="I93" s="57">
        <v>-42637.550843344645</v>
      </c>
      <c r="J93" s="57">
        <v>-61190.883769973902</v>
      </c>
      <c r="K93" s="57">
        <v>-121500.13916965759</v>
      </c>
      <c r="L93" s="57">
        <v>-182947.51190688432</v>
      </c>
    </row>
    <row r="94" spans="3:13" x14ac:dyDescent="0.25">
      <c r="C94" s="25" t="s">
        <v>78</v>
      </c>
      <c r="E94" s="57">
        <v>9290.0899999999929</v>
      </c>
      <c r="F94" s="57">
        <v>-1417829.7599999998</v>
      </c>
      <c r="G94" s="57">
        <v>-1586599.1300000004</v>
      </c>
      <c r="H94" s="57">
        <v>-3822146.804973688</v>
      </c>
      <c r="I94" s="57">
        <v>-2987919.4432068598</v>
      </c>
      <c r="J94" s="57">
        <v>-3109651.8914431487</v>
      </c>
      <c r="K94" s="57">
        <v>-3236343.9074439886</v>
      </c>
      <c r="L94" s="57">
        <v>-3368197.5516523211</v>
      </c>
    </row>
    <row r="95" spans="3:13" x14ac:dyDescent="0.25">
      <c r="C95" s="20" t="s">
        <v>79</v>
      </c>
      <c r="E95" s="58">
        <f t="shared" ref="E95:L95" si="23">E90+SUM(E93:E94)</f>
        <v>-13423777.350366296</v>
      </c>
      <c r="F95" s="58">
        <f t="shared" si="23"/>
        <v>-11028314.51</v>
      </c>
      <c r="G95" s="58">
        <f t="shared" si="23"/>
        <v>-12527174.189999996</v>
      </c>
      <c r="H95" s="58">
        <f t="shared" si="23"/>
        <v>-15631570.743099986</v>
      </c>
      <c r="I95" s="58">
        <f t="shared" si="23"/>
        <v>-1203871.6425491045</v>
      </c>
      <c r="J95" s="58">
        <f t="shared" si="23"/>
        <v>29471257.136001863</v>
      </c>
      <c r="K95" s="58">
        <f t="shared" si="23"/>
        <v>99969006.635553375</v>
      </c>
      <c r="L95" s="58">
        <f t="shared" si="23"/>
        <v>173214882.70751351</v>
      </c>
    </row>
    <row r="96" spans="3:13" x14ac:dyDescent="0.25">
      <c r="C96" s="20"/>
      <c r="E96" s="28"/>
      <c r="F96" s="28"/>
      <c r="G96" s="28"/>
      <c r="H96" s="28"/>
      <c r="I96" s="28"/>
      <c r="J96" s="28"/>
      <c r="K96" s="28"/>
      <c r="L96" s="28"/>
    </row>
    <row r="97" spans="1:12" x14ac:dyDescent="0.25">
      <c r="C97" s="25" t="s">
        <v>80</v>
      </c>
      <c r="E97" s="26">
        <v>3295.2</v>
      </c>
      <c r="F97" s="26">
        <v>488.58000000000004</v>
      </c>
      <c r="G97" s="26">
        <v>8240.68</v>
      </c>
      <c r="H97" s="26">
        <v>27232.855054486194</v>
      </c>
      <c r="I97" s="26">
        <v>682140.18064913922</v>
      </c>
      <c r="J97" s="26">
        <v>6854840.9813551465</v>
      </c>
      <c r="K97" s="26">
        <v>21698638.643255081</v>
      </c>
      <c r="L97" s="26">
        <v>37120865.831925265</v>
      </c>
    </row>
    <row r="98" spans="1:12" x14ac:dyDescent="0.25">
      <c r="C98" s="20"/>
      <c r="E98" s="28"/>
      <c r="F98" s="28"/>
      <c r="G98" s="28"/>
      <c r="H98" s="28"/>
      <c r="I98" s="28"/>
      <c r="J98" s="28"/>
      <c r="K98" s="28"/>
      <c r="L98" s="28"/>
    </row>
    <row r="99" spans="1:12" x14ac:dyDescent="0.25">
      <c r="C99" s="20" t="s">
        <v>81</v>
      </c>
      <c r="E99" s="29">
        <f t="shared" ref="E99:L99" si="24">E95-E97</f>
        <v>-13427072.550366296</v>
      </c>
      <c r="F99" s="29">
        <f t="shared" si="24"/>
        <v>-11028803.09</v>
      </c>
      <c r="G99" s="29">
        <f t="shared" si="24"/>
        <v>-12535414.869999995</v>
      </c>
      <c r="H99" s="29">
        <f t="shared" si="24"/>
        <v>-15658803.598154472</v>
      </c>
      <c r="I99" s="29">
        <f t="shared" si="24"/>
        <v>-1886011.8231982437</v>
      </c>
      <c r="J99" s="29">
        <f t="shared" si="24"/>
        <v>22616416.154646717</v>
      </c>
      <c r="K99" s="29">
        <f t="shared" si="24"/>
        <v>78270367.99229829</v>
      </c>
      <c r="L99" s="29">
        <f t="shared" si="24"/>
        <v>136094016.87558824</v>
      </c>
    </row>
    <row r="100" spans="1:12" x14ac:dyDescent="0.25">
      <c r="C100" s="20"/>
      <c r="E100" s="28"/>
      <c r="F100" s="28"/>
      <c r="G100" s="28"/>
      <c r="H100" s="28"/>
      <c r="I100" s="28"/>
      <c r="J100" s="28"/>
      <c r="K100" s="28"/>
      <c r="L100" s="28"/>
    </row>
    <row r="101" spans="1:12" x14ac:dyDescent="0.25">
      <c r="C101" s="32" t="s">
        <v>82</v>
      </c>
      <c r="D101" s="61"/>
      <c r="E101" s="62">
        <f t="shared" ref="E101:L101" si="25">E90+E87</f>
        <v>-13329803.680366296</v>
      </c>
      <c r="F101" s="62">
        <f t="shared" si="25"/>
        <v>-9469563.3300000001</v>
      </c>
      <c r="G101" s="62">
        <f t="shared" si="25"/>
        <v>-12928952.659999995</v>
      </c>
      <c r="H101" s="62">
        <f t="shared" si="25"/>
        <v>-11671359.792584101</v>
      </c>
      <c r="I101" s="62">
        <f t="shared" si="25"/>
        <v>1997235.5548744784</v>
      </c>
      <c r="J101" s="62">
        <f t="shared" si="25"/>
        <v>32886863.446294881</v>
      </c>
      <c r="K101" s="62">
        <f t="shared" si="25"/>
        <v>103812851.23884565</v>
      </c>
      <c r="L101" s="62">
        <f t="shared" si="25"/>
        <v>177497817.81870025</v>
      </c>
    </row>
    <row r="102" spans="1:12" x14ac:dyDescent="0.25">
      <c r="C102" s="30" t="s">
        <v>83</v>
      </c>
      <c r="D102" s="30"/>
      <c r="E102" s="31">
        <f t="shared" ref="E102:L102" si="26">E101/E67</f>
        <v>-1.8183226220343494</v>
      </c>
      <c r="F102" s="31">
        <f t="shared" si="26"/>
        <v>-0.93447130022473723</v>
      </c>
      <c r="G102" s="31">
        <f t="shared" si="26"/>
        <v>-0.92161913950818153</v>
      </c>
      <c r="H102" s="31">
        <f t="shared" si="26"/>
        <v>-0.48987014358709607</v>
      </c>
      <c r="I102" s="31">
        <f t="shared" si="26"/>
        <v>4.6842173515372759E-2</v>
      </c>
      <c r="J102" s="31">
        <f t="shared" si="26"/>
        <v>0.40308533011945552</v>
      </c>
      <c r="K102" s="31">
        <f t="shared" si="26"/>
        <v>0.64081933536236024</v>
      </c>
      <c r="L102" s="31">
        <f t="shared" si="26"/>
        <v>0.72765878025048869</v>
      </c>
    </row>
    <row r="103" spans="1:12" x14ac:dyDescent="0.25">
      <c r="C103" s="20"/>
      <c r="E103" s="28"/>
      <c r="F103" s="28"/>
      <c r="G103" s="28"/>
      <c r="H103" s="28"/>
      <c r="I103" s="28"/>
      <c r="J103" s="28"/>
      <c r="K103" s="28"/>
      <c r="L103" s="28"/>
    </row>
    <row r="104" spans="1:12" x14ac:dyDescent="0.25">
      <c r="A104" s="24" t="s">
        <v>84</v>
      </c>
      <c r="D104" s="69"/>
    </row>
    <row r="105" spans="1:12" x14ac:dyDescent="0.25">
      <c r="A105" s="24" t="s">
        <v>85</v>
      </c>
      <c r="D105" s="68">
        <v>0.3</v>
      </c>
      <c r="E105" s="83" t="s">
        <v>86</v>
      </c>
    </row>
    <row r="106" spans="1:12" x14ac:dyDescent="0.25">
      <c r="A106" s="24" t="s">
        <v>87</v>
      </c>
      <c r="C106" s="65"/>
      <c r="D106" s="61">
        <v>15</v>
      </c>
    </row>
    <row r="107" spans="1:12" x14ac:dyDescent="0.25">
      <c r="A107" s="24"/>
    </row>
    <row r="108" spans="1:12" x14ac:dyDescent="0.25">
      <c r="C108" s="63" t="s">
        <v>88</v>
      </c>
      <c r="E108" s="66"/>
      <c r="F108" s="66"/>
      <c r="G108" s="66"/>
      <c r="H108" s="66"/>
      <c r="I108" s="66"/>
      <c r="J108" s="66"/>
      <c r="K108" s="66"/>
      <c r="L108" s="66"/>
    </row>
    <row r="109" spans="1:12" x14ac:dyDescent="0.25">
      <c r="C109" s="64" t="s">
        <v>89</v>
      </c>
      <c r="E109" s="67">
        <f>E90</f>
        <v>-13437408.830366297</v>
      </c>
      <c r="F109" s="67">
        <f t="shared" ref="F109:L109" si="27">F90</f>
        <v>-9600195.5500000007</v>
      </c>
      <c r="G109" s="67">
        <f t="shared" si="27"/>
        <v>-13035601.079999994</v>
      </c>
      <c r="H109" s="67">
        <f t="shared" si="27"/>
        <v>-11776184.983071811</v>
      </c>
      <c r="I109" s="67">
        <f t="shared" si="27"/>
        <v>1826685.3515010998</v>
      </c>
      <c r="J109" s="67">
        <f t="shared" si="27"/>
        <v>32642099.911214985</v>
      </c>
      <c r="K109" s="67">
        <f t="shared" si="27"/>
        <v>103326850.68216702</v>
      </c>
      <c r="L109" s="67">
        <f t="shared" si="27"/>
        <v>176766027.77107272</v>
      </c>
    </row>
    <row r="110" spans="1:12" x14ac:dyDescent="0.25">
      <c r="C110" s="64" t="s">
        <v>90</v>
      </c>
      <c r="E110" s="67">
        <f>-E97</f>
        <v>-3295.2</v>
      </c>
      <c r="F110" s="67">
        <f t="shared" ref="F110:L110" si="28">-F97</f>
        <v>-488.58000000000004</v>
      </c>
      <c r="G110" s="67">
        <f t="shared" si="28"/>
        <v>-8240.68</v>
      </c>
      <c r="H110" s="67">
        <f t="shared" si="28"/>
        <v>-27232.855054486194</v>
      </c>
      <c r="I110" s="67">
        <f t="shared" si="28"/>
        <v>-682140.18064913922</v>
      </c>
      <c r="J110" s="67">
        <f t="shared" si="28"/>
        <v>-6854840.9813551465</v>
      </c>
      <c r="K110" s="67">
        <f t="shared" si="28"/>
        <v>-21698638.643255081</v>
      </c>
      <c r="L110" s="67">
        <f t="shared" si="28"/>
        <v>-37120865.831925265</v>
      </c>
    </row>
    <row r="111" spans="1:12" x14ac:dyDescent="0.25">
      <c r="C111" s="64" t="s">
        <v>91</v>
      </c>
      <c r="E111" s="67">
        <f>E87</f>
        <v>107605.15</v>
      </c>
      <c r="F111" s="67">
        <f t="shared" ref="F111:L111" si="29">F87</f>
        <v>130632.22</v>
      </c>
      <c r="G111" s="67">
        <f t="shared" si="29"/>
        <v>106648.42</v>
      </c>
      <c r="H111" s="67">
        <f t="shared" si="29"/>
        <v>104825.19048771105</v>
      </c>
      <c r="I111" s="67">
        <f t="shared" si="29"/>
        <v>170550.20337337858</v>
      </c>
      <c r="J111" s="67">
        <f t="shared" si="29"/>
        <v>244763.53507989561</v>
      </c>
      <c r="K111" s="67">
        <f t="shared" si="29"/>
        <v>486000.55667863035</v>
      </c>
      <c r="L111" s="67">
        <f t="shared" si="29"/>
        <v>731790.04762753728</v>
      </c>
    </row>
    <row r="112" spans="1:12" x14ac:dyDescent="0.25">
      <c r="C112" s="64" t="s">
        <v>92</v>
      </c>
      <c r="E112" s="66"/>
      <c r="F112" s="66"/>
      <c r="G112" s="66"/>
      <c r="H112" s="66"/>
      <c r="I112" s="66"/>
      <c r="J112" s="66"/>
      <c r="K112" s="66"/>
      <c r="L112" s="66"/>
    </row>
    <row r="113" spans="3:12" x14ac:dyDescent="0.25">
      <c r="C113" s="64" t="s">
        <v>93</v>
      </c>
      <c r="E113" s="66"/>
      <c r="F113" s="66"/>
      <c r="G113" s="66"/>
      <c r="H113" s="66"/>
      <c r="I113" s="66"/>
      <c r="J113" s="66"/>
      <c r="K113" s="66"/>
      <c r="L113" s="66"/>
    </row>
    <row r="114" spans="3:12" x14ac:dyDescent="0.25">
      <c r="C114" s="64" t="s">
        <v>94</v>
      </c>
      <c r="E114" s="67">
        <f>SUM(E109:E111)</f>
        <v>-13333098.880366296</v>
      </c>
      <c r="F114" s="67">
        <f t="shared" ref="F114:L114" si="30">SUM(F109:F111)</f>
        <v>-9470051.9100000001</v>
      </c>
      <c r="G114" s="67">
        <f t="shared" si="30"/>
        <v>-12937193.339999994</v>
      </c>
      <c r="H114" s="67">
        <f t="shared" si="30"/>
        <v>-11698592.647638587</v>
      </c>
      <c r="I114" s="67">
        <f t="shared" si="30"/>
        <v>1315095.3742253392</v>
      </c>
      <c r="J114" s="67">
        <f t="shared" si="30"/>
        <v>26032022.464939736</v>
      </c>
      <c r="K114" s="67">
        <f t="shared" si="30"/>
        <v>82114212.595590562</v>
      </c>
      <c r="L114" s="67">
        <f t="shared" si="30"/>
        <v>140376951.98677498</v>
      </c>
    </row>
    <row r="115" spans="3:12" x14ac:dyDescent="0.25">
      <c r="C115" s="64" t="s">
        <v>95</v>
      </c>
      <c r="E115" s="66"/>
      <c r="F115" s="66"/>
      <c r="G115" s="66"/>
      <c r="H115" s="66"/>
      <c r="I115" s="66"/>
      <c r="J115" s="66"/>
      <c r="K115" s="66"/>
      <c r="L115" s="82">
        <f>L101*D106</f>
        <v>2662467267.2805037</v>
      </c>
    </row>
    <row r="116" spans="3:12" x14ac:dyDescent="0.25">
      <c r="C116" s="64" t="s">
        <v>96</v>
      </c>
      <c r="D116" s="79">
        <f>NPV(D105,H114,I114,J114,K114,L114+L115)</f>
        <v>787266048.02232909</v>
      </c>
      <c r="E116" s="66"/>
      <c r="F116" s="66"/>
      <c r="G116" s="66"/>
      <c r="H116" s="66"/>
      <c r="I116" s="66"/>
      <c r="J116" s="66"/>
      <c r="K116" s="66"/>
      <c r="L116" s="66"/>
    </row>
    <row r="117" spans="3:12" x14ac:dyDescent="0.25">
      <c r="L117" s="78"/>
    </row>
    <row r="118" spans="3:12" x14ac:dyDescent="0.25">
      <c r="L118" s="78"/>
    </row>
    <row r="119" spans="3:12" x14ac:dyDescent="0.25">
      <c r="C119" s="64" t="s">
        <v>97</v>
      </c>
      <c r="D119" s="79">
        <v>20000000</v>
      </c>
      <c r="E119" s="83" t="s">
        <v>98</v>
      </c>
    </row>
    <row r="120" spans="3:12" x14ac:dyDescent="0.25">
      <c r="C120" s="64" t="s">
        <v>99</v>
      </c>
      <c r="D120" s="80">
        <f>D116+D119</f>
        <v>807266048.02232909</v>
      </c>
    </row>
    <row r="121" spans="3:12" x14ac:dyDescent="0.25">
      <c r="C121" s="64" t="s">
        <v>100</v>
      </c>
      <c r="D121" s="79">
        <v>5000000</v>
      </c>
    </row>
    <row r="122" spans="3:12" x14ac:dyDescent="0.25">
      <c r="C122" s="64" t="s">
        <v>101</v>
      </c>
      <c r="D122" s="35">
        <f>D121/D120</f>
        <v>6.1937449397868136E-3</v>
      </c>
      <c r="E122" s="84">
        <f>D122*L115</f>
        <v>16490643.164066646</v>
      </c>
    </row>
    <row r="123" spans="3:12" x14ac:dyDescent="0.25">
      <c r="C123" s="64" t="s">
        <v>102</v>
      </c>
      <c r="D123" s="35">
        <f>(E122/D121)^(1/4)-1</f>
        <v>0.34761829259967691</v>
      </c>
      <c r="E123" s="83" t="s">
        <v>103</v>
      </c>
      <c r="L123" s="81"/>
    </row>
    <row r="124" spans="3:12" x14ac:dyDescent="0.25">
      <c r="D124" s="47"/>
    </row>
    <row r="125" spans="3:12" x14ac:dyDescent="0.25">
      <c r="D125" s="47">
        <f>IRR(E114:L114)</f>
        <v>0.3861935150393685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topLeftCell="A43" zoomScale="80" zoomScaleNormal="80" workbookViewId="0">
      <selection activeCell="C61" sqref="C61:L64"/>
    </sheetView>
  </sheetViews>
  <sheetFormatPr defaultRowHeight="15" outlineLevelRow="1" x14ac:dyDescent="0.25"/>
  <cols>
    <col min="2" max="2" width="12.140625" customWidth="1"/>
    <col min="3" max="3" width="55.85546875" customWidth="1"/>
    <col min="4" max="4" width="12.28515625" bestFit="1" customWidth="1"/>
    <col min="5" max="9" width="22.28515625" customWidth="1"/>
    <col min="10" max="12" width="23.7109375" bestFit="1" customWidth="1"/>
  </cols>
  <sheetData>
    <row r="1" spans="2:12" x14ac:dyDescent="0.25">
      <c r="B1" s="20"/>
      <c r="C1" s="40" t="s">
        <v>0</v>
      </c>
    </row>
    <row r="2" spans="2:12" x14ac:dyDescent="0.25">
      <c r="C2" t="s">
        <v>1</v>
      </c>
      <c r="E2" s="28"/>
      <c r="F2" s="28"/>
      <c r="G2" s="28"/>
      <c r="H2" s="28"/>
      <c r="I2" s="28"/>
      <c r="J2" s="28"/>
      <c r="K2" s="28"/>
      <c r="L2" s="28"/>
    </row>
    <row r="3" spans="2:12" ht="15" customHeight="1" x14ac:dyDescent="0.25">
      <c r="C3" t="s">
        <v>2</v>
      </c>
      <c r="E3" s="41">
        <f t="shared" ref="E3:L3" si="0">YEAR(E4)</f>
        <v>2019</v>
      </c>
      <c r="F3" s="41">
        <f t="shared" si="0"/>
        <v>2020</v>
      </c>
      <c r="G3" s="41">
        <f t="shared" si="0"/>
        <v>2021</v>
      </c>
      <c r="H3" s="41">
        <f t="shared" si="0"/>
        <v>2022</v>
      </c>
      <c r="I3" s="41">
        <f t="shared" si="0"/>
        <v>2023</v>
      </c>
      <c r="J3" s="41">
        <f t="shared" si="0"/>
        <v>2024</v>
      </c>
      <c r="K3" s="41">
        <f t="shared" si="0"/>
        <v>2025</v>
      </c>
      <c r="L3" s="41">
        <f t="shared" si="0"/>
        <v>2026</v>
      </c>
    </row>
    <row r="4" spans="2:12" ht="15" customHeight="1" outlineLevel="1" x14ac:dyDescent="0.25">
      <c r="C4" s="42"/>
      <c r="D4" s="42"/>
      <c r="E4" s="43">
        <v>43830</v>
      </c>
      <c r="F4" s="43">
        <f t="shared" ref="F4:L4" si="1">EOMONTH(E4,12)</f>
        <v>44196</v>
      </c>
      <c r="G4" s="43">
        <f t="shared" si="1"/>
        <v>44561</v>
      </c>
      <c r="H4" s="43">
        <f t="shared" si="1"/>
        <v>44926</v>
      </c>
      <c r="I4" s="43">
        <f t="shared" si="1"/>
        <v>45291</v>
      </c>
      <c r="J4" s="43">
        <f t="shared" si="1"/>
        <v>45657</v>
      </c>
      <c r="K4" s="43">
        <f t="shared" si="1"/>
        <v>46022</v>
      </c>
      <c r="L4" s="43">
        <f t="shared" si="1"/>
        <v>46387</v>
      </c>
    </row>
    <row r="5" spans="2:12" ht="8.1" customHeight="1" x14ac:dyDescent="0.25"/>
    <row r="6" spans="2:12" ht="15" customHeight="1" x14ac:dyDescent="0.25">
      <c r="C6" s="44"/>
      <c r="D6" s="45"/>
      <c r="E6" s="45" t="s">
        <v>3</v>
      </c>
      <c r="F6" s="45"/>
      <c r="G6" s="45"/>
      <c r="H6" s="60" t="s">
        <v>4</v>
      </c>
      <c r="I6" s="60" t="s">
        <v>4</v>
      </c>
      <c r="J6" s="60" t="s">
        <v>4</v>
      </c>
      <c r="K6" s="60" t="s">
        <v>4</v>
      </c>
      <c r="L6" s="60" t="s">
        <v>4</v>
      </c>
    </row>
    <row r="7" spans="2:12" x14ac:dyDescent="0.25">
      <c r="C7" s="40" t="s">
        <v>5</v>
      </c>
      <c r="E7" s="28"/>
      <c r="F7" s="28"/>
      <c r="G7" s="28"/>
      <c r="H7" s="28"/>
      <c r="I7" s="28"/>
      <c r="J7" s="28"/>
      <c r="K7" s="28"/>
      <c r="L7" s="28"/>
    </row>
    <row r="8" spans="2:12" x14ac:dyDescent="0.25">
      <c r="C8" s="25" t="s">
        <v>6</v>
      </c>
      <c r="E8" s="28"/>
      <c r="F8" s="28"/>
      <c r="G8" s="28"/>
      <c r="H8" s="28"/>
      <c r="I8" s="28"/>
      <c r="J8" s="28"/>
      <c r="K8" s="28"/>
      <c r="L8" s="28"/>
    </row>
    <row r="9" spans="2:12" x14ac:dyDescent="0.25">
      <c r="C9" t="s">
        <v>7</v>
      </c>
      <c r="E9" s="35"/>
      <c r="F9" s="35"/>
      <c r="G9" s="35"/>
      <c r="H9" s="35"/>
      <c r="I9" s="35"/>
      <c r="J9" s="35"/>
      <c r="K9" s="35"/>
      <c r="L9" s="35"/>
    </row>
    <row r="10" spans="2:12" x14ac:dyDescent="0.25">
      <c r="C10" s="25" t="s">
        <v>8</v>
      </c>
      <c r="E10" s="28">
        <v>22364</v>
      </c>
      <c r="F10" s="28">
        <v>26905</v>
      </c>
      <c r="G10" s="28">
        <v>30659</v>
      </c>
      <c r="H10" s="28">
        <v>46286</v>
      </c>
      <c r="I10" s="28">
        <v>70017.600000000006</v>
      </c>
      <c r="J10" s="28">
        <v>76530</v>
      </c>
      <c r="K10" s="28">
        <v>87570</v>
      </c>
      <c r="L10" s="28">
        <v>99498</v>
      </c>
    </row>
    <row r="11" spans="2:12" ht="15.75" thickBot="1" x14ac:dyDescent="0.3">
      <c r="C11" s="25" t="s">
        <v>9</v>
      </c>
      <c r="E11" s="28">
        <v>3547</v>
      </c>
      <c r="F11" s="28">
        <v>3645</v>
      </c>
      <c r="G11" s="28">
        <v>15627</v>
      </c>
      <c r="H11" s="28">
        <v>22477</v>
      </c>
      <c r="I11" s="28">
        <v>1262.3999999999942</v>
      </c>
      <c r="J11" s="28">
        <v>0</v>
      </c>
      <c r="K11" s="28">
        <v>0</v>
      </c>
      <c r="L11" s="28">
        <v>0</v>
      </c>
    </row>
    <row r="12" spans="2:12" ht="15.75" thickBot="1" x14ac:dyDescent="0.3">
      <c r="C12" s="70" t="s">
        <v>10</v>
      </c>
      <c r="D12" s="71"/>
      <c r="E12" s="72">
        <v>0</v>
      </c>
      <c r="F12" s="72">
        <v>0</v>
      </c>
      <c r="G12" s="72">
        <v>0</v>
      </c>
      <c r="H12" s="72">
        <v>1000</v>
      </c>
      <c r="I12" s="72">
        <v>5250</v>
      </c>
      <c r="J12" s="72">
        <v>11040</v>
      </c>
      <c r="K12" s="72">
        <v>11928</v>
      </c>
      <c r="L12" s="73">
        <v>13368</v>
      </c>
    </row>
    <row r="13" spans="2:12" x14ac:dyDescent="0.25">
      <c r="C13" s="25" t="s">
        <v>11</v>
      </c>
      <c r="E13" s="46">
        <v>25911</v>
      </c>
      <c r="F13" s="46">
        <v>30550</v>
      </c>
      <c r="G13" s="46">
        <v>46286</v>
      </c>
      <c r="H13" s="46">
        <v>69763</v>
      </c>
      <c r="I13" s="46">
        <v>76530</v>
      </c>
      <c r="J13" s="46">
        <v>87570</v>
      </c>
      <c r="K13" s="46">
        <v>99498</v>
      </c>
      <c r="L13" s="46">
        <v>112866</v>
      </c>
    </row>
    <row r="14" spans="2:12" x14ac:dyDescent="0.25">
      <c r="C14" s="25" t="s">
        <v>12</v>
      </c>
      <c r="E14" s="47">
        <v>0.63606190421056696</v>
      </c>
      <c r="F14" s="47">
        <v>0.65270049099836336</v>
      </c>
      <c r="G14" s="47">
        <v>0.51179622348010201</v>
      </c>
      <c r="H14" s="47">
        <v>0.68124197633796402</v>
      </c>
      <c r="I14" s="47">
        <v>0.76060589783722155</v>
      </c>
      <c r="J14" s="47">
        <v>0.7893018284006813</v>
      </c>
      <c r="K14" s="47">
        <v>0.8179977589641414</v>
      </c>
      <c r="L14" s="47">
        <v>0.84383540836653137</v>
      </c>
    </row>
    <row r="15" spans="2:12" x14ac:dyDescent="0.25">
      <c r="C15" s="20" t="s">
        <v>13</v>
      </c>
      <c r="E15" s="28">
        <v>16481</v>
      </c>
      <c r="F15" s="28">
        <v>19940</v>
      </c>
      <c r="G15" s="28">
        <v>23689</v>
      </c>
      <c r="H15" s="28">
        <v>47525.483995265386</v>
      </c>
      <c r="I15" s="28">
        <v>58209.169361482564</v>
      </c>
      <c r="J15" s="28">
        <v>69119.161113047667</v>
      </c>
      <c r="K15" s="28">
        <v>81389.141021414136</v>
      </c>
      <c r="L15" s="28">
        <v>95240.327200696935</v>
      </c>
    </row>
    <row r="16" spans="2:12" x14ac:dyDescent="0.25">
      <c r="C16" s="74" t="s">
        <v>14</v>
      </c>
      <c r="D16" s="75"/>
      <c r="E16" s="76"/>
      <c r="F16" s="77">
        <f>(F15-E15)/E15</f>
        <v>0.20987804138098418</v>
      </c>
      <c r="G16" s="77">
        <f t="shared" ref="G16:L16" si="2">(G15-F15)/F15</f>
        <v>0.18801404212637915</v>
      </c>
      <c r="H16" s="77">
        <f t="shared" si="2"/>
        <v>1.0062258430185058</v>
      </c>
      <c r="I16" s="77">
        <f t="shared" si="2"/>
        <v>0.22479908604994986</v>
      </c>
      <c r="J16" s="77">
        <f t="shared" si="2"/>
        <v>0.18742737392133832</v>
      </c>
      <c r="K16" s="77">
        <f t="shared" si="2"/>
        <v>0.17751922492662106</v>
      </c>
      <c r="L16" s="77">
        <f t="shared" si="2"/>
        <v>0.17018469546985932</v>
      </c>
    </row>
    <row r="17" spans="3:12" x14ac:dyDescent="0.25">
      <c r="C17" s="20"/>
      <c r="E17" s="28"/>
      <c r="F17" s="28"/>
      <c r="G17" s="28"/>
      <c r="H17" s="28"/>
      <c r="I17" s="28"/>
      <c r="J17" s="28"/>
      <c r="K17" s="28"/>
      <c r="L17" s="28"/>
    </row>
    <row r="18" spans="3:12" x14ac:dyDescent="0.25">
      <c r="C18" s="25" t="s">
        <v>15</v>
      </c>
      <c r="E18" s="46"/>
      <c r="F18" s="46"/>
      <c r="G18" s="46"/>
      <c r="H18" s="46"/>
      <c r="I18" s="46"/>
      <c r="J18" s="46"/>
      <c r="K18" s="46"/>
      <c r="L18" s="46"/>
    </row>
    <row r="19" spans="3:12" x14ac:dyDescent="0.25">
      <c r="C19" s="25" t="s">
        <v>16</v>
      </c>
      <c r="E19" s="33">
        <v>0</v>
      </c>
      <c r="F19" s="33">
        <v>0</v>
      </c>
      <c r="G19" s="33">
        <v>2.1909209561020854E-3</v>
      </c>
      <c r="H19" s="33">
        <v>3.0503666233810149E-3</v>
      </c>
      <c r="I19" s="33">
        <v>6.9650031751378148E-3</v>
      </c>
      <c r="J19" s="33">
        <v>2.5196005058109667E-2</v>
      </c>
      <c r="K19" s="33">
        <v>5.5668254924474594E-2</v>
      </c>
      <c r="L19" s="33">
        <v>6.9617064706734511E-2</v>
      </c>
    </row>
    <row r="20" spans="3:12" x14ac:dyDescent="0.25">
      <c r="C20" s="25" t="s">
        <v>17</v>
      </c>
      <c r="E20" s="28">
        <v>0</v>
      </c>
      <c r="F20" s="28">
        <v>0</v>
      </c>
      <c r="G20" s="28">
        <v>788.73154419675075</v>
      </c>
      <c r="H20" s="28">
        <v>1098.1319844171653</v>
      </c>
      <c r="I20" s="28">
        <v>2507.4011430496134</v>
      </c>
      <c r="J20" s="28">
        <v>9070.5618209194799</v>
      </c>
      <c r="K20" s="28">
        <v>20040.571772810854</v>
      </c>
      <c r="L20" s="28">
        <v>25062.143294424422</v>
      </c>
    </row>
    <row r="21" spans="3:12" x14ac:dyDescent="0.25">
      <c r="C21" s="20" t="s">
        <v>18</v>
      </c>
      <c r="E21" s="28">
        <v>2329131</v>
      </c>
      <c r="F21" s="46">
        <v>6404009</v>
      </c>
      <c r="G21" s="46">
        <v>17387844</v>
      </c>
      <c r="H21" s="46">
        <v>39274195.713081852</v>
      </c>
      <c r="I21" s="28">
        <v>139640056.14906776</v>
      </c>
      <c r="J21" s="28">
        <v>590317794.54164541</v>
      </c>
      <c r="K21" s="28">
        <v>1526940687.2859542</v>
      </c>
      <c r="L21" s="28">
        <v>2227816045.2219281</v>
      </c>
    </row>
    <row r="22" spans="3:12" x14ac:dyDescent="0.25">
      <c r="C22" s="20"/>
      <c r="E22" s="28"/>
      <c r="F22" s="35"/>
      <c r="G22" s="35"/>
      <c r="H22" s="35"/>
      <c r="I22" s="28"/>
      <c r="J22" s="28"/>
      <c r="K22" s="28"/>
      <c r="L22" s="28"/>
    </row>
    <row r="23" spans="3:12" x14ac:dyDescent="0.25">
      <c r="C23" s="25" t="s">
        <v>19</v>
      </c>
      <c r="E23" s="28"/>
      <c r="F23" s="47"/>
      <c r="G23" s="47"/>
      <c r="H23" s="47"/>
      <c r="I23" s="28"/>
      <c r="J23" s="28"/>
      <c r="K23" s="28"/>
      <c r="L23" s="28"/>
    </row>
    <row r="24" spans="3:12" x14ac:dyDescent="0.25">
      <c r="C24" s="25" t="s">
        <v>20</v>
      </c>
      <c r="E24" s="36">
        <v>3.0090553798424624</v>
      </c>
      <c r="F24" s="36">
        <v>2.6857111797866229</v>
      </c>
      <c r="G24" s="36">
        <v>2.8603606749838386</v>
      </c>
      <c r="H24" s="36">
        <v>3.0460819441206546</v>
      </c>
      <c r="I24" s="36">
        <v>3.0982812153833361</v>
      </c>
      <c r="J24" s="36">
        <v>3.116764046827917</v>
      </c>
      <c r="K24" s="36">
        <v>3.4238801386140123</v>
      </c>
      <c r="L24" s="36">
        <v>3.547835018392743</v>
      </c>
    </row>
    <row r="25" spans="3:12" x14ac:dyDescent="0.25">
      <c r="C25" s="25" t="s">
        <v>21</v>
      </c>
      <c r="E25" s="28">
        <v>99278</v>
      </c>
      <c r="F25" s="28">
        <v>321965</v>
      </c>
      <c r="G25" s="28">
        <v>672905</v>
      </c>
      <c r="H25" s="28">
        <v>1538062.2408114909</v>
      </c>
      <c r="I25" s="28">
        <v>6775917.7610065741</v>
      </c>
      <c r="J25" s="28">
        <v>26029829.023575071</v>
      </c>
      <c r="K25" s="28">
        <v>47118098.043722242</v>
      </c>
      <c r="L25" s="28">
        <v>56507522.333828732</v>
      </c>
    </row>
    <row r="26" spans="3:12" x14ac:dyDescent="0.25">
      <c r="C26" s="20" t="s">
        <v>22</v>
      </c>
      <c r="E26" s="28">
        <v>991560</v>
      </c>
      <c r="F26" s="28">
        <v>2476892</v>
      </c>
      <c r="G26" s="28">
        <v>6184511</v>
      </c>
      <c r="H26" s="28">
        <v>12443621.345172675</v>
      </c>
      <c r="I26" s="28">
        <v>53205471.088504858</v>
      </c>
      <c r="J26" s="28">
        <v>145244061.82891697</v>
      </c>
      <c r="K26" s="28">
        <v>228716856.37772891</v>
      </c>
      <c r="L26" s="28">
        <v>268214514.43546355</v>
      </c>
    </row>
    <row r="27" spans="3:12" x14ac:dyDescent="0.25">
      <c r="C27" s="20" t="s">
        <v>23</v>
      </c>
      <c r="E27" s="28"/>
      <c r="F27" s="39">
        <f>(F25-E25)/E25</f>
        <v>2.2430649287858335</v>
      </c>
      <c r="G27" s="39">
        <f t="shared" ref="G27:L27" si="3">(G25-F25)/F25</f>
        <v>1.0899942540338237</v>
      </c>
      <c r="H27" s="39">
        <f t="shared" si="3"/>
        <v>1.2857048778230076</v>
      </c>
      <c r="I27" s="39">
        <f t="shared" si="3"/>
        <v>3.405489960816904</v>
      </c>
      <c r="J27" s="39">
        <f t="shared" si="3"/>
        <v>2.8415208008233406</v>
      </c>
      <c r="K27" s="39">
        <f t="shared" si="3"/>
        <v>0.81015780015487782</v>
      </c>
      <c r="L27" s="39">
        <f t="shared" si="3"/>
        <v>0.19927426360448108</v>
      </c>
    </row>
    <row r="28" spans="3:12" x14ac:dyDescent="0.25">
      <c r="C28" s="25" t="s">
        <v>24</v>
      </c>
      <c r="E28" s="28"/>
      <c r="F28" s="28"/>
      <c r="G28" s="28"/>
      <c r="H28" s="28"/>
      <c r="I28" s="28"/>
      <c r="J28" s="28"/>
      <c r="K28" s="28"/>
      <c r="L28" s="28"/>
    </row>
    <row r="29" spans="3:12" x14ac:dyDescent="0.25">
      <c r="C29" s="25" t="s">
        <v>25</v>
      </c>
      <c r="E29" s="34">
        <v>104.1333476129829</v>
      </c>
      <c r="F29" s="34">
        <v>111.259525695581</v>
      </c>
      <c r="G29" s="34">
        <v>148.343662014432</v>
      </c>
      <c r="H29" s="34">
        <v>219.55076069792804</v>
      </c>
      <c r="I29" s="34">
        <v>336.31400618779571</v>
      </c>
      <c r="J29" s="34">
        <v>355.68975806271561</v>
      </c>
      <c r="K29" s="34">
        <v>380.81798542234014</v>
      </c>
      <c r="L29" s="34">
        <v>403.13836907086278</v>
      </c>
    </row>
    <row r="30" spans="3:12" x14ac:dyDescent="0.25">
      <c r="C30" s="25" t="s">
        <v>26</v>
      </c>
      <c r="E30" s="34">
        <v>9.6406117093126458</v>
      </c>
      <c r="F30" s="34">
        <v>26.015824222585927</v>
      </c>
      <c r="G30" s="34">
        <v>30.710728514021518</v>
      </c>
      <c r="H30" s="34">
        <v>35.429584705726967</v>
      </c>
      <c r="I30" s="34">
        <v>145.64673052056273</v>
      </c>
      <c r="J30" s="34">
        <v>515.16441674806026</v>
      </c>
      <c r="K30" s="34">
        <v>1199.8012010763796</v>
      </c>
      <c r="L30" s="34">
        <v>1719.1350992016414</v>
      </c>
    </row>
    <row r="31" spans="3:12" x14ac:dyDescent="0.25">
      <c r="C31" s="25" t="s">
        <v>27</v>
      </c>
      <c r="E31" s="34">
        <v>113.77395932229555</v>
      </c>
      <c r="F31" s="34">
        <v>137.27534991816694</v>
      </c>
      <c r="G31" s="34">
        <v>179.05439052845352</v>
      </c>
      <c r="H31" s="34">
        <v>254.98034540365504</v>
      </c>
      <c r="I31" s="34">
        <v>481.96073670835841</v>
      </c>
      <c r="J31" s="34">
        <v>870.85417481077593</v>
      </c>
      <c r="K31" s="34">
        <v>1580.61918649872</v>
      </c>
      <c r="L31" s="34">
        <v>2122.273468272504</v>
      </c>
    </row>
    <row r="32" spans="3:12" x14ac:dyDescent="0.25">
      <c r="C32" s="20" t="s">
        <v>28</v>
      </c>
      <c r="E32" s="34">
        <v>0.10724939473133971</v>
      </c>
      <c r="F32" s="34">
        <v>0.12410716943089868</v>
      </c>
      <c r="G32" s="34">
        <v>8.1751180882460181E-2</v>
      </c>
      <c r="H32" s="34">
        <v>6.2933793371161006E-2</v>
      </c>
      <c r="I32" s="34">
        <v>7.9821969384198638E-2</v>
      </c>
      <c r="J32" s="34">
        <v>7.6421460426507659E-2</v>
      </c>
      <c r="K32" s="34">
        <v>7.8181045864253285E-2</v>
      </c>
      <c r="L32" s="34">
        <v>8.7095118343652828E-2</v>
      </c>
    </row>
    <row r="33" spans="3:12" x14ac:dyDescent="0.25">
      <c r="C33" s="20"/>
      <c r="E33" s="28"/>
      <c r="F33" s="28"/>
      <c r="G33" s="28"/>
      <c r="H33" s="28"/>
      <c r="I33" s="28"/>
      <c r="J33" s="28"/>
      <c r="K33" s="28"/>
      <c r="L33" s="28"/>
    </row>
    <row r="34" spans="3:12" x14ac:dyDescent="0.25">
      <c r="C34" s="25" t="s">
        <v>29</v>
      </c>
      <c r="E34" s="28"/>
      <c r="F34" s="28"/>
      <c r="G34" s="28"/>
      <c r="H34" s="28"/>
      <c r="I34" s="28"/>
      <c r="J34" s="28"/>
      <c r="K34" s="28"/>
      <c r="L34" s="28"/>
    </row>
    <row r="35" spans="3:12" x14ac:dyDescent="0.25">
      <c r="C35" s="25" t="s">
        <v>30</v>
      </c>
      <c r="E35" s="37">
        <v>0.2543384120515334</v>
      </c>
      <c r="F35" s="37">
        <v>0.17504237892232821</v>
      </c>
      <c r="G35" s="37">
        <v>8.824405026868197E-2</v>
      </c>
      <c r="H35" s="37">
        <v>6.6693114634872194E-2</v>
      </c>
      <c r="I35" s="38">
        <v>3.2058034868867123E-2</v>
      </c>
      <c r="J35" s="38">
        <v>1.2337381113179221E-2</v>
      </c>
      <c r="K35" s="38">
        <v>6.7605370514881337E-3</v>
      </c>
      <c r="L35" s="38">
        <v>5.3688181185865417E-3</v>
      </c>
    </row>
    <row r="36" spans="3:12" x14ac:dyDescent="0.25">
      <c r="C36" s="25" t="s">
        <v>31</v>
      </c>
      <c r="E36" s="37">
        <v>8.414388027122563E-2</v>
      </c>
      <c r="F36" s="37">
        <v>3.1295113732663395E-2</v>
      </c>
      <c r="G36" s="37">
        <v>1.197535703678961E-2</v>
      </c>
      <c r="H36" s="37">
        <v>4.9740476234417354E-3</v>
      </c>
      <c r="I36" s="38">
        <v>1.8791759826194544E-3</v>
      </c>
      <c r="J36" s="38">
        <v>7.2319187283760491E-4</v>
      </c>
      <c r="K36" s="38">
        <v>3.9628875908120768E-4</v>
      </c>
      <c r="L36" s="38">
        <v>3.1470906138722168E-4</v>
      </c>
    </row>
    <row r="37" spans="3:12" x14ac:dyDescent="0.25">
      <c r="C37" s="25" t="s">
        <v>32</v>
      </c>
      <c r="E37" s="37">
        <v>0</v>
      </c>
      <c r="F37" s="37">
        <v>2.2721870003618045E-2</v>
      </c>
      <c r="G37" s="37">
        <v>1.1945800755976416E-2</v>
      </c>
      <c r="H37" s="37">
        <v>7.0835923782562151E-3</v>
      </c>
      <c r="I37" s="38">
        <v>3.0525413220417082E-3</v>
      </c>
      <c r="J37" s="38">
        <v>1.1747559015331294E-3</v>
      </c>
      <c r="K37" s="38">
        <v>6.4373311693234191E-4</v>
      </c>
      <c r="L37" s="38">
        <v>5.1121471495519592E-4</v>
      </c>
    </row>
    <row r="38" spans="3:12" x14ac:dyDescent="0.25">
      <c r="C38" s="25" t="s">
        <v>33</v>
      </c>
      <c r="E38" s="37">
        <v>0.11529595372694795</v>
      </c>
      <c r="F38" s="37">
        <v>4.3660914592718404E-2</v>
      </c>
      <c r="G38" s="37">
        <v>6.1670187517210281E-3</v>
      </c>
      <c r="H38" s="37">
        <v>3.37859726214201E-3</v>
      </c>
      <c r="I38" s="38">
        <v>1.558361566604102E-3</v>
      </c>
      <c r="J38" s="38">
        <v>5.9972798201667358E-4</v>
      </c>
      <c r="K38" s="38">
        <v>3.2863402743608125E-4</v>
      </c>
      <c r="L38" s="38">
        <v>2.6098168051523734E-4</v>
      </c>
    </row>
    <row r="39" spans="3:12" x14ac:dyDescent="0.25">
      <c r="C39" s="20" t="s">
        <v>34</v>
      </c>
      <c r="E39" s="37">
        <v>0</v>
      </c>
      <c r="F39" s="37">
        <v>2.9644649156489324E-2</v>
      </c>
      <c r="G39" s="37">
        <v>3.6870586140524378E-4</v>
      </c>
      <c r="H39" s="37">
        <v>0</v>
      </c>
      <c r="I39" s="38">
        <v>0</v>
      </c>
      <c r="J39" s="38">
        <v>0</v>
      </c>
      <c r="K39" s="38">
        <v>0</v>
      </c>
      <c r="L39" s="38">
        <v>0</v>
      </c>
    </row>
    <row r="40" spans="3:12" x14ac:dyDescent="0.25">
      <c r="C40" s="20"/>
      <c r="E40" s="28"/>
      <c r="F40" s="28"/>
      <c r="G40" s="28"/>
      <c r="H40" s="28"/>
      <c r="I40" s="28" t="s">
        <v>35</v>
      </c>
      <c r="J40" s="28"/>
      <c r="K40" s="28"/>
      <c r="L40" s="28"/>
    </row>
    <row r="41" spans="3:12" x14ac:dyDescent="0.25">
      <c r="C41" s="25" t="s">
        <v>36</v>
      </c>
      <c r="E41" s="46"/>
      <c r="F41" s="46"/>
      <c r="G41" s="46"/>
      <c r="H41" s="46"/>
      <c r="I41" s="46"/>
      <c r="J41" s="46"/>
      <c r="K41" s="46"/>
      <c r="L41" s="46"/>
    </row>
    <row r="42" spans="3:12" x14ac:dyDescent="0.25">
      <c r="C42" s="25" t="s">
        <v>37</v>
      </c>
      <c r="E42" s="35">
        <f>E88/E70</f>
        <v>2.2105975188497924</v>
      </c>
      <c r="F42" s="35">
        <f t="shared" ref="F42:L42" si="4">F88/F70</f>
        <v>1.5254276999268686</v>
      </c>
      <c r="G42" s="35">
        <f t="shared" si="4"/>
        <v>1.5386039870631711</v>
      </c>
      <c r="H42" s="35">
        <f t="shared" si="4"/>
        <v>1.1769452565103009</v>
      </c>
      <c r="I42" s="35">
        <f t="shared" si="4"/>
        <v>0.86738685358111878</v>
      </c>
      <c r="J42" s="35">
        <f t="shared" si="4"/>
        <v>0.75569370774141775</v>
      </c>
      <c r="K42" s="35">
        <f t="shared" si="4"/>
        <v>0.63822550362186026</v>
      </c>
      <c r="L42" s="35">
        <f t="shared" si="4"/>
        <v>0.53894074668460334</v>
      </c>
    </row>
    <row r="43" spans="3:12" x14ac:dyDescent="0.25">
      <c r="C43" s="25" t="s">
        <v>38</v>
      </c>
      <c r="E43" s="35">
        <f>E89/E70</f>
        <v>0.46355182397895972</v>
      </c>
      <c r="F43" s="35">
        <f t="shared" ref="F43:L43" si="5">F89/F70</f>
        <v>0.21796178383031978</v>
      </c>
      <c r="G43" s="35">
        <f t="shared" si="5"/>
        <v>0.23588963390118478</v>
      </c>
      <c r="H43" s="35">
        <f t="shared" si="5"/>
        <v>0.17663764975868956</v>
      </c>
      <c r="I43" s="35">
        <f t="shared" si="5"/>
        <v>9.9461489426731942E-2</v>
      </c>
      <c r="J43" s="35">
        <f t="shared" si="5"/>
        <v>8.2242081952388246E-2</v>
      </c>
      <c r="K43" s="35">
        <f t="shared" si="5"/>
        <v>6.588307686571454E-2</v>
      </c>
      <c r="L43" s="35">
        <f t="shared" si="5"/>
        <v>5.2818297786768158E-2</v>
      </c>
    </row>
    <row r="44" spans="3:12" x14ac:dyDescent="0.25">
      <c r="C44" s="25" t="s">
        <v>39</v>
      </c>
      <c r="E44" s="48">
        <f>E90/E70</f>
        <v>1.4678451624954673E-2</v>
      </c>
      <c r="F44" s="48">
        <f t="shared" ref="F44:L44" si="6">F90/F70</f>
        <v>1.2890991508332193E-2</v>
      </c>
      <c r="G44" s="48">
        <f t="shared" si="6"/>
        <v>7.6022573254829421E-3</v>
      </c>
      <c r="H44" s="48">
        <f t="shared" si="6"/>
        <v>4.3967852658916944E-3</v>
      </c>
      <c r="I44" s="48">
        <f t="shared" si="6"/>
        <v>4.6769168043970981E-3</v>
      </c>
      <c r="J44" s="48">
        <f t="shared" si="6"/>
        <v>5.1346451155486758E-3</v>
      </c>
      <c r="K44" s="48">
        <f t="shared" si="6"/>
        <v>7.4757096571264415E-3</v>
      </c>
      <c r="L44" s="48">
        <f t="shared" si="6"/>
        <v>8.3197521746490415E-3</v>
      </c>
    </row>
    <row r="45" spans="3:12" x14ac:dyDescent="0.25">
      <c r="C45" s="41"/>
      <c r="D45" s="41"/>
      <c r="E45" s="41"/>
      <c r="F45" s="41"/>
      <c r="G45" s="49"/>
      <c r="H45" s="49"/>
      <c r="I45" s="49"/>
      <c r="J45" s="28"/>
      <c r="K45" s="28"/>
      <c r="L45" s="28"/>
    </row>
    <row r="46" spans="3:12" x14ac:dyDescent="0.25">
      <c r="C46" s="41"/>
      <c r="D46" s="41"/>
      <c r="E46" s="41"/>
      <c r="F46" s="41"/>
      <c r="G46" s="49"/>
      <c r="H46" s="49"/>
      <c r="I46" s="49"/>
      <c r="J46" s="28"/>
      <c r="K46" s="28"/>
      <c r="L46" s="28"/>
    </row>
    <row r="47" spans="3:12" x14ac:dyDescent="0.25">
      <c r="C47" s="40" t="s">
        <v>0</v>
      </c>
      <c r="E47" s="41">
        <f t="shared" ref="E47:L47" si="7">YEAR(E48)</f>
        <v>2019</v>
      </c>
      <c r="F47" s="41">
        <f t="shared" si="7"/>
        <v>2020</v>
      </c>
      <c r="G47" s="41">
        <f t="shared" si="7"/>
        <v>2021</v>
      </c>
      <c r="H47" s="41">
        <f t="shared" si="7"/>
        <v>2022</v>
      </c>
      <c r="I47" s="41">
        <f t="shared" si="7"/>
        <v>2023</v>
      </c>
      <c r="J47" s="41">
        <f t="shared" si="7"/>
        <v>2024</v>
      </c>
      <c r="K47" s="41">
        <f t="shared" si="7"/>
        <v>2025</v>
      </c>
      <c r="L47" s="41">
        <f t="shared" si="7"/>
        <v>2026</v>
      </c>
    </row>
    <row r="48" spans="3:12" x14ac:dyDescent="0.25">
      <c r="C48" s="42"/>
      <c r="D48" s="42"/>
      <c r="E48" s="43">
        <v>43830</v>
      </c>
      <c r="F48" s="43">
        <f t="shared" ref="F48:L48" si="8">EOMONTH(E48,12)</f>
        <v>44196</v>
      </c>
      <c r="G48" s="43">
        <f t="shared" si="8"/>
        <v>44561</v>
      </c>
      <c r="H48" s="43">
        <f t="shared" si="8"/>
        <v>44926</v>
      </c>
      <c r="I48" s="43">
        <f t="shared" si="8"/>
        <v>45291</v>
      </c>
      <c r="J48" s="43">
        <f t="shared" si="8"/>
        <v>45657</v>
      </c>
      <c r="K48" s="43">
        <f t="shared" si="8"/>
        <v>46022</v>
      </c>
      <c r="L48" s="43">
        <f t="shared" si="8"/>
        <v>46387</v>
      </c>
    </row>
    <row r="50" spans="3:12" x14ac:dyDescent="0.25">
      <c r="C50" s="44" t="s">
        <v>40</v>
      </c>
      <c r="D50" s="45"/>
      <c r="E50" s="45"/>
      <c r="F50" s="45"/>
      <c r="G50" s="45"/>
      <c r="H50" s="59" t="s">
        <v>41</v>
      </c>
      <c r="I50" s="59" t="s">
        <v>41</v>
      </c>
      <c r="J50" s="59" t="s">
        <v>41</v>
      </c>
      <c r="K50" s="59" t="s">
        <v>41</v>
      </c>
      <c r="L50" s="59" t="s">
        <v>41</v>
      </c>
    </row>
    <row r="52" spans="3:12" x14ac:dyDescent="0.25">
      <c r="C52" s="20" t="s">
        <v>42</v>
      </c>
      <c r="G52" s="35"/>
    </row>
    <row r="53" spans="3:12" x14ac:dyDescent="0.25">
      <c r="C53" s="50" t="s">
        <v>43</v>
      </c>
      <c r="E53" s="21">
        <v>2698199.17</v>
      </c>
      <c r="F53" s="21">
        <v>3398978.51</v>
      </c>
      <c r="G53" s="21">
        <v>6866234.7399999993</v>
      </c>
      <c r="H53" s="21">
        <v>14885198.918569554</v>
      </c>
      <c r="I53" s="21">
        <v>23138916.493552007</v>
      </c>
      <c r="J53" s="21">
        <v>23675578.513552006</v>
      </c>
      <c r="K53" s="21">
        <v>23640027.913552005</v>
      </c>
      <c r="L53" s="21">
        <v>23625215.163552005</v>
      </c>
    </row>
    <row r="54" spans="3:12" x14ac:dyDescent="0.25">
      <c r="C54" s="50" t="s">
        <v>44</v>
      </c>
      <c r="E54" s="21">
        <v>0</v>
      </c>
      <c r="F54" s="21">
        <v>0</v>
      </c>
      <c r="G54" s="21">
        <v>0</v>
      </c>
      <c r="H54" s="21">
        <v>431320.80000000005</v>
      </c>
      <c r="I54" s="21">
        <v>2599194.3999999994</v>
      </c>
      <c r="J54" s="21">
        <v>7472173.5999999978</v>
      </c>
      <c r="K54" s="21">
        <v>14250600</v>
      </c>
      <c r="L54" s="21">
        <v>21875400</v>
      </c>
    </row>
    <row r="55" spans="3:12" x14ac:dyDescent="0.25">
      <c r="C55" s="51" t="s">
        <v>45</v>
      </c>
      <c r="E55" s="52">
        <f t="shared" ref="E55:L55" si="9">SUM(E53:E54)</f>
        <v>2698199.17</v>
      </c>
      <c r="F55" s="52">
        <f t="shared" si="9"/>
        <v>3398978.51</v>
      </c>
      <c r="G55" s="52">
        <f t="shared" si="9"/>
        <v>6866234.7399999993</v>
      </c>
      <c r="H55" s="52">
        <f t="shared" si="9"/>
        <v>15316519.718569554</v>
      </c>
      <c r="I55" s="52">
        <f t="shared" si="9"/>
        <v>25738110.893552005</v>
      </c>
      <c r="J55" s="52">
        <f t="shared" si="9"/>
        <v>31147752.113552004</v>
      </c>
      <c r="K55" s="52">
        <f t="shared" si="9"/>
        <v>37890627.913552001</v>
      </c>
      <c r="L55" s="52">
        <f t="shared" si="9"/>
        <v>45500615.163552001</v>
      </c>
    </row>
    <row r="56" spans="3:12" x14ac:dyDescent="0.25">
      <c r="C56" s="20" t="s">
        <v>46</v>
      </c>
      <c r="E56" s="53"/>
      <c r="F56" s="53"/>
      <c r="G56" s="54"/>
      <c r="H56" s="53"/>
      <c r="I56" s="53"/>
      <c r="J56" s="53"/>
      <c r="K56" s="53"/>
      <c r="L56" s="53"/>
    </row>
    <row r="57" spans="3:12" x14ac:dyDescent="0.25">
      <c r="C57" s="50" t="s">
        <v>47</v>
      </c>
      <c r="E57" s="21">
        <v>249797.88999999998</v>
      </c>
      <c r="F57" s="21">
        <v>794783.43</v>
      </c>
      <c r="G57" s="21">
        <v>1421476.78</v>
      </c>
      <c r="H57" s="21">
        <v>2291840.7121282509</v>
      </c>
      <c r="I57" s="21">
        <v>7395167.2426107172</v>
      </c>
      <c r="J57" s="21">
        <v>27987700.304249622</v>
      </c>
      <c r="K57" s="21">
        <v>69680630.543387771</v>
      </c>
      <c r="L57" s="21">
        <v>97901311.090322286</v>
      </c>
    </row>
    <row r="58" spans="3:12" x14ac:dyDescent="0.25">
      <c r="C58" s="50" t="s">
        <v>48</v>
      </c>
      <c r="E58" s="21">
        <v>0</v>
      </c>
      <c r="F58" s="21">
        <v>0</v>
      </c>
      <c r="G58" s="21">
        <v>0</v>
      </c>
      <c r="H58" s="21">
        <v>2013.5358532031087</v>
      </c>
      <c r="I58" s="21">
        <v>75142.592068757484</v>
      </c>
      <c r="J58" s="21">
        <v>441390.97275263089</v>
      </c>
      <c r="K58" s="21">
        <v>1293189.5264575253</v>
      </c>
      <c r="L58" s="21">
        <v>3247597.6347407661</v>
      </c>
    </row>
    <row r="59" spans="3:12" x14ac:dyDescent="0.25">
      <c r="C59" s="50" t="s">
        <v>49</v>
      </c>
      <c r="E59" s="21">
        <v>0</v>
      </c>
      <c r="F59" s="21">
        <v>0</v>
      </c>
      <c r="G59" s="21">
        <v>0</v>
      </c>
      <c r="H59" s="21">
        <v>162421.1447322297</v>
      </c>
      <c r="I59" s="21">
        <v>2827332.0722666406</v>
      </c>
      <c r="J59" s="21">
        <v>8728908.3155624308</v>
      </c>
      <c r="K59" s="21">
        <v>17177332.100011069</v>
      </c>
      <c r="L59" s="21">
        <v>28930472.993354816</v>
      </c>
    </row>
    <row r="60" spans="3:12" x14ac:dyDescent="0.25">
      <c r="C60" s="50" t="s">
        <v>50</v>
      </c>
      <c r="E60" s="21">
        <v>0</v>
      </c>
      <c r="F60" s="21">
        <v>0</v>
      </c>
      <c r="G60" s="21">
        <v>0</v>
      </c>
      <c r="H60" s="21">
        <v>15398.725111946707</v>
      </c>
      <c r="I60" s="21">
        <v>848702.37979254976</v>
      </c>
      <c r="J60" s="21">
        <v>7954948.3820629492</v>
      </c>
      <c r="K60" s="21">
        <v>31226667.734841276</v>
      </c>
      <c r="L60" s="21">
        <v>63952520.388074592</v>
      </c>
    </row>
    <row r="61" spans="3:12" ht="21" x14ac:dyDescent="0.35">
      <c r="C61" s="88" t="s">
        <v>51</v>
      </c>
      <c r="D61" s="89"/>
      <c r="E61" s="90">
        <f t="shared" ref="E61:L61" si="10">SUM(E57:E60)</f>
        <v>249797.88999999998</v>
      </c>
      <c r="F61" s="90">
        <f t="shared" si="10"/>
        <v>794783.43</v>
      </c>
      <c r="G61" s="90">
        <f t="shared" si="10"/>
        <v>1421476.78</v>
      </c>
      <c r="H61" s="90">
        <f t="shared" si="10"/>
        <v>2471674.1178256306</v>
      </c>
      <c r="I61" s="90">
        <f t="shared" si="10"/>
        <v>11146344.286738666</v>
      </c>
      <c r="J61" s="90">
        <f t="shared" si="10"/>
        <v>45112947.974627636</v>
      </c>
      <c r="K61" s="90">
        <f t="shared" si="10"/>
        <v>119377819.90469763</v>
      </c>
      <c r="L61" s="90">
        <f t="shared" si="10"/>
        <v>194031902.10649246</v>
      </c>
    </row>
    <row r="62" spans="3:12" ht="21" x14ac:dyDescent="0.35">
      <c r="C62" s="91" t="s">
        <v>130</v>
      </c>
      <c r="D62" s="92"/>
      <c r="E62" s="93" t="s">
        <v>104</v>
      </c>
      <c r="F62" s="94">
        <f>(F61-E61)/E61</f>
        <v>2.1817059383487991</v>
      </c>
      <c r="G62" s="94">
        <f>(G61-F61)/F61</f>
        <v>0.78850832358193468</v>
      </c>
      <c r="H62" s="94">
        <f t="shared" ref="H62:L62" si="11">(H61-G61)/G61</f>
        <v>0.73880724089325644</v>
      </c>
      <c r="I62" s="94">
        <f t="shared" si="11"/>
        <v>3.5096334530315323</v>
      </c>
      <c r="J62" s="94">
        <f t="shared" si="11"/>
        <v>3.0473312876492296</v>
      </c>
      <c r="K62" s="94">
        <f t="shared" si="11"/>
        <v>1.6461986029340829</v>
      </c>
      <c r="L62" s="94">
        <f t="shared" si="11"/>
        <v>0.62535973819418966</v>
      </c>
    </row>
    <row r="63" spans="3:12" ht="21" x14ac:dyDescent="0.35">
      <c r="C63" s="91" t="s">
        <v>129</v>
      </c>
      <c r="D63" s="92"/>
      <c r="E63" s="93" t="s">
        <v>104</v>
      </c>
      <c r="F63" s="93" t="s">
        <v>104</v>
      </c>
      <c r="G63" s="93" t="s">
        <v>104</v>
      </c>
      <c r="H63" s="94">
        <v>0.75</v>
      </c>
      <c r="I63" s="94">
        <v>1</v>
      </c>
      <c r="J63" s="94">
        <v>1.25</v>
      </c>
      <c r="K63" s="94">
        <v>1</v>
      </c>
      <c r="L63" s="94">
        <v>0.7</v>
      </c>
    </row>
    <row r="64" spans="3:12" ht="21" x14ac:dyDescent="0.35">
      <c r="C64" s="91" t="s">
        <v>128</v>
      </c>
      <c r="D64" s="92"/>
      <c r="E64" s="93" t="s">
        <v>104</v>
      </c>
      <c r="F64" s="93" t="s">
        <v>104</v>
      </c>
      <c r="G64" s="93" t="s">
        <v>104</v>
      </c>
      <c r="H64" s="95">
        <f>(1+H63)*G61</f>
        <v>2487584.3650000002</v>
      </c>
      <c r="I64" s="95">
        <f>(1+I63)*H64</f>
        <v>4975168.7300000004</v>
      </c>
      <c r="J64" s="95">
        <f t="shared" ref="J64:L64" si="12">(1+J63)*I64</f>
        <v>11194129.642500002</v>
      </c>
      <c r="K64" s="95">
        <f t="shared" si="12"/>
        <v>22388259.285000004</v>
      </c>
      <c r="L64" s="95">
        <f t="shared" si="12"/>
        <v>38060040.784500003</v>
      </c>
    </row>
    <row r="65" spans="3:12" x14ac:dyDescent="0.25">
      <c r="C65" s="20" t="s">
        <v>52</v>
      </c>
      <c r="E65" s="22"/>
      <c r="F65" s="22"/>
      <c r="G65" s="22"/>
      <c r="H65" s="22"/>
      <c r="I65" s="22"/>
      <c r="J65" s="22"/>
      <c r="K65" s="22"/>
      <c r="L65" s="22"/>
    </row>
    <row r="66" spans="3:12" x14ac:dyDescent="0.25">
      <c r="C66" s="50" t="s">
        <v>53</v>
      </c>
      <c r="E66" s="21">
        <v>4382827.2496336997</v>
      </c>
      <c r="F66" s="21">
        <v>5939843.3699999992</v>
      </c>
      <c r="G66" s="21">
        <v>5740808.620000001</v>
      </c>
      <c r="H66" s="21">
        <v>5287788.13</v>
      </c>
      <c r="I66" s="21">
        <v>3558393.5066666668</v>
      </c>
      <c r="J66" s="21">
        <v>1527569.8899999997</v>
      </c>
      <c r="K66" s="21">
        <v>763579.89999999991</v>
      </c>
      <c r="L66" s="21">
        <v>14505.81</v>
      </c>
    </row>
    <row r="67" spans="3:12" x14ac:dyDescent="0.25">
      <c r="C67" s="50" t="s">
        <v>54</v>
      </c>
      <c r="E67" s="21">
        <v>0</v>
      </c>
      <c r="F67" s="21">
        <v>0</v>
      </c>
      <c r="G67" s="21">
        <v>0</v>
      </c>
      <c r="H67" s="21">
        <v>749433.69809101126</v>
      </c>
      <c r="I67" s="21">
        <v>2194702.1563873156</v>
      </c>
      <c r="J67" s="21">
        <v>3799575.0484522232</v>
      </c>
      <c r="K67" s="21">
        <v>3968157.8412937955</v>
      </c>
      <c r="L67" s="21">
        <v>4382992.7958012642</v>
      </c>
    </row>
    <row r="68" spans="3:12" x14ac:dyDescent="0.25">
      <c r="C68" s="51" t="s">
        <v>55</v>
      </c>
      <c r="E68" s="52">
        <f t="shared" ref="E68:G68" si="13">SUM(E66:E67)</f>
        <v>4382827.2496336997</v>
      </c>
      <c r="F68" s="52">
        <f t="shared" si="13"/>
        <v>5939843.3699999992</v>
      </c>
      <c r="G68" s="52">
        <f t="shared" si="13"/>
        <v>5740808.620000001</v>
      </c>
      <c r="H68" s="52">
        <f>SUM(H66:H67)</f>
        <v>6037221.8280910114</v>
      </c>
      <c r="I68" s="52">
        <f>SUM(I66:I67)</f>
        <v>5753095.663053982</v>
      </c>
      <c r="J68" s="52">
        <f>SUM(J66:J67)</f>
        <v>5327144.9384522233</v>
      </c>
      <c r="K68" s="52">
        <f>SUM(K66:K67)</f>
        <v>4731737.7412937954</v>
      </c>
      <c r="L68" s="52">
        <f>SUM(L66:L67)</f>
        <v>4397498.6058012638</v>
      </c>
    </row>
    <row r="69" spans="3:12" x14ac:dyDescent="0.25">
      <c r="C69" s="51"/>
      <c r="E69" s="22"/>
      <c r="F69" s="22"/>
      <c r="G69" s="22"/>
      <c r="H69" s="22"/>
      <c r="I69" s="22"/>
      <c r="J69" s="22"/>
      <c r="K69" s="22"/>
      <c r="L69" s="22"/>
    </row>
    <row r="70" spans="3:12" x14ac:dyDescent="0.25">
      <c r="C70" s="20" t="s">
        <v>56</v>
      </c>
      <c r="D70" s="20"/>
      <c r="E70" s="23">
        <f>E68+E61+E55</f>
        <v>7330824.3096336992</v>
      </c>
      <c r="F70" s="23">
        <f>F68+F61+F55</f>
        <v>10133605.309999999</v>
      </c>
      <c r="G70" s="23">
        <f>G68+G61+G55</f>
        <v>14028520.140000001</v>
      </c>
      <c r="H70" s="85">
        <f>H68+H64+H55</f>
        <v>23841325.911660567</v>
      </c>
      <c r="I70" s="85">
        <f t="shared" ref="I70:L70" si="14">I68+I64+I55</f>
        <v>36466375.286605984</v>
      </c>
      <c r="J70" s="85">
        <f t="shared" si="14"/>
        <v>47669026.694504231</v>
      </c>
      <c r="K70" s="85">
        <f t="shared" si="14"/>
        <v>65010624.9398458</v>
      </c>
      <c r="L70" s="85">
        <f t="shared" si="14"/>
        <v>87958154.553853273</v>
      </c>
    </row>
    <row r="71" spans="3:12" x14ac:dyDescent="0.25">
      <c r="C71" s="20"/>
      <c r="E71" s="22"/>
      <c r="F71" s="54"/>
      <c r="G71" s="54"/>
      <c r="H71" s="22"/>
      <c r="I71" s="22"/>
      <c r="J71" s="22"/>
      <c r="K71" s="22"/>
      <c r="L71" s="22"/>
    </row>
    <row r="72" spans="3:12" x14ac:dyDescent="0.25">
      <c r="C72" s="50" t="s">
        <v>57</v>
      </c>
      <c r="D72" s="24"/>
      <c r="E72" s="55">
        <f t="shared" ref="E72:L72" si="15">E55/E70</f>
        <v>0.36806217909958633</v>
      </c>
      <c r="F72" s="55">
        <f t="shared" si="15"/>
        <v>0.3354165083423799</v>
      </c>
      <c r="G72" s="55">
        <f t="shared" si="15"/>
        <v>0.48944825765492317</v>
      </c>
      <c r="H72" s="55">
        <f t="shared" si="15"/>
        <v>0.6424357342927135</v>
      </c>
      <c r="I72" s="55">
        <f t="shared" si="15"/>
        <v>0.70580392735127573</v>
      </c>
      <c r="J72" s="55">
        <f t="shared" si="15"/>
        <v>0.65341699366274308</v>
      </c>
      <c r="K72" s="55">
        <f t="shared" si="15"/>
        <v>0.58283746616206389</v>
      </c>
      <c r="L72" s="55">
        <f t="shared" si="15"/>
        <v>0.51729842894434297</v>
      </c>
    </row>
    <row r="73" spans="3:12" x14ac:dyDescent="0.25">
      <c r="C73" s="50" t="s">
        <v>58</v>
      </c>
      <c r="D73" s="24"/>
      <c r="E73" s="55">
        <f t="shared" ref="E73:L73" si="16">E61/E70</f>
        <v>3.407500704548759E-2</v>
      </c>
      <c r="F73" s="55">
        <f t="shared" si="16"/>
        <v>7.8430470270605013E-2</v>
      </c>
      <c r="G73" s="55">
        <f t="shared" si="16"/>
        <v>0.10132763583144415</v>
      </c>
      <c r="H73" s="55">
        <f t="shared" si="16"/>
        <v>0.10367183968643112</v>
      </c>
      <c r="I73" s="55">
        <f t="shared" si="16"/>
        <v>0.30566087797688773</v>
      </c>
      <c r="J73" s="55">
        <f t="shared" si="16"/>
        <v>0.94637862576348164</v>
      </c>
      <c r="K73" s="55">
        <f t="shared" si="16"/>
        <v>1.8362816849577692</v>
      </c>
      <c r="L73" s="55">
        <f t="shared" si="16"/>
        <v>2.205956947262854</v>
      </c>
    </row>
    <row r="74" spans="3:12" x14ac:dyDescent="0.25">
      <c r="C74" s="50" t="s">
        <v>59</v>
      </c>
      <c r="D74" s="24"/>
      <c r="E74" s="55">
        <f t="shared" ref="E74:L74" si="17">E68/E70</f>
        <v>0.59786281385492612</v>
      </c>
      <c r="F74" s="55">
        <f t="shared" si="17"/>
        <v>0.58615302138701508</v>
      </c>
      <c r="G74" s="55">
        <f t="shared" si="17"/>
        <v>0.40922410651363267</v>
      </c>
      <c r="H74" s="55">
        <f t="shared" si="17"/>
        <v>0.25322508699645196</v>
      </c>
      <c r="I74" s="55">
        <f t="shared" si="17"/>
        <v>0.1577643957711114</v>
      </c>
      <c r="J74" s="55">
        <f t="shared" si="17"/>
        <v>0.11175275242333384</v>
      </c>
      <c r="K74" s="55">
        <f t="shared" si="17"/>
        <v>7.2784067922313664E-2</v>
      </c>
      <c r="L74" s="55">
        <f t="shared" si="17"/>
        <v>4.9995348675816641E-2</v>
      </c>
    </row>
    <row r="75" spans="3:12" x14ac:dyDescent="0.25">
      <c r="C75" s="20"/>
      <c r="E75" s="22"/>
      <c r="F75" s="22"/>
      <c r="G75" s="22"/>
      <c r="H75" s="22"/>
      <c r="I75" s="22"/>
      <c r="J75" s="22"/>
      <c r="K75" s="22"/>
      <c r="L75" s="22"/>
    </row>
    <row r="76" spans="3:12" x14ac:dyDescent="0.25">
      <c r="C76" s="20" t="s">
        <v>60</v>
      </c>
      <c r="E76" s="22"/>
      <c r="F76" s="22"/>
      <c r="G76" s="22"/>
      <c r="H76" s="22"/>
      <c r="I76" s="22"/>
      <c r="J76" s="22"/>
      <c r="K76" s="22"/>
      <c r="L76" s="22"/>
    </row>
    <row r="77" spans="3:12" x14ac:dyDescent="0.25">
      <c r="C77" s="25" t="s">
        <v>61</v>
      </c>
      <c r="E77" s="26">
        <v>592387.48</v>
      </c>
      <c r="F77" s="26">
        <v>1120972.9700000002</v>
      </c>
      <c r="G77" s="26">
        <v>1534373.7800000003</v>
      </c>
      <c r="H77" s="26">
        <v>2619318.4368849741</v>
      </c>
      <c r="I77" s="26">
        <v>4476585.7891173773</v>
      </c>
      <c r="J77" s="26">
        <v>7282975.609151708</v>
      </c>
      <c r="K77" s="26">
        <v>10322939.091821449</v>
      </c>
      <c r="L77" s="26">
        <v>11960739.148465302</v>
      </c>
    </row>
    <row r="78" spans="3:12" x14ac:dyDescent="0.25">
      <c r="C78" s="25" t="s">
        <v>62</v>
      </c>
      <c r="E78" s="26">
        <v>195982.12000000002</v>
      </c>
      <c r="F78" s="26">
        <v>200414.18999999997</v>
      </c>
      <c r="G78" s="26">
        <v>208225.64</v>
      </c>
      <c r="H78" s="26">
        <v>195351.71984924038</v>
      </c>
      <c r="I78" s="26">
        <v>262408.23972696019</v>
      </c>
      <c r="J78" s="26">
        <v>426913.03140393703</v>
      </c>
      <c r="K78" s="26">
        <v>605109.43015515723</v>
      </c>
      <c r="L78" s="26">
        <v>701113.89653518517</v>
      </c>
    </row>
    <row r="79" spans="3:12" x14ac:dyDescent="0.25">
      <c r="C79" s="25" t="s">
        <v>63</v>
      </c>
      <c r="E79" s="26">
        <v>0</v>
      </c>
      <c r="F79" s="26">
        <v>145511.06</v>
      </c>
      <c r="G79" s="26">
        <v>207711.72</v>
      </c>
      <c r="H79" s="26">
        <v>278202.39341532951</v>
      </c>
      <c r="I79" s="26">
        <v>426257.04160725366</v>
      </c>
      <c r="J79" s="26">
        <v>693479.31291781925</v>
      </c>
      <c r="K79" s="26">
        <v>982942.28799739969</v>
      </c>
      <c r="L79" s="26">
        <v>1138892.3445307398</v>
      </c>
    </row>
    <row r="80" spans="3:12" x14ac:dyDescent="0.25">
      <c r="C80" s="25" t="s">
        <v>64</v>
      </c>
      <c r="E80" s="26">
        <v>268539.38</v>
      </c>
      <c r="F80" s="26">
        <v>279604.89</v>
      </c>
      <c r="G80" s="26">
        <v>107231.15999999997</v>
      </c>
      <c r="H80" s="26">
        <v>132691.69010904781</v>
      </c>
      <c r="I80" s="26">
        <v>217609.69666114601</v>
      </c>
      <c r="J80" s="26">
        <v>354030.09966899431</v>
      </c>
      <c r="K80" s="26">
        <v>501804.66771880101</v>
      </c>
      <c r="L80" s="26">
        <v>581419.17536082875</v>
      </c>
    </row>
    <row r="81" spans="3:13" x14ac:dyDescent="0.25">
      <c r="C81" s="25" t="s">
        <v>65</v>
      </c>
      <c r="E81" s="26">
        <v>0</v>
      </c>
      <c r="F81" s="26">
        <v>189844.60000000003</v>
      </c>
      <c r="G81" s="26">
        <v>6411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</row>
    <row r="82" spans="3:13" x14ac:dyDescent="0.25">
      <c r="C82" s="20" t="s">
        <v>66</v>
      </c>
      <c r="E82" s="27">
        <f t="shared" ref="E82:F82" si="18">SUM(E77:E81)</f>
        <v>1056908.98</v>
      </c>
      <c r="F82" s="27">
        <f t="shared" si="18"/>
        <v>1936347.7100000004</v>
      </c>
      <c r="G82" s="27">
        <f t="shared" ref="G82:L82" si="19">SUM(G77:G81)</f>
        <v>2063953.3000000003</v>
      </c>
      <c r="H82" s="27">
        <f t="shared" si="19"/>
        <v>3225564.2402585922</v>
      </c>
      <c r="I82" s="27">
        <f t="shared" si="19"/>
        <v>5382860.7671127375</v>
      </c>
      <c r="J82" s="27">
        <f t="shared" si="19"/>
        <v>8757398.0531424582</v>
      </c>
      <c r="K82" s="27">
        <f t="shared" si="19"/>
        <v>12412795.477692809</v>
      </c>
      <c r="L82" s="27">
        <f t="shared" si="19"/>
        <v>14382164.564892054</v>
      </c>
    </row>
    <row r="83" spans="3:13" x14ac:dyDescent="0.25">
      <c r="C83" s="20"/>
      <c r="E83" s="22"/>
      <c r="F83" s="22"/>
      <c r="G83" s="22"/>
      <c r="H83" s="22"/>
      <c r="I83" s="22"/>
      <c r="J83" s="22"/>
      <c r="K83" s="22"/>
      <c r="L83" s="22"/>
    </row>
    <row r="84" spans="3:13" x14ac:dyDescent="0.25">
      <c r="C84" s="20" t="s">
        <v>67</v>
      </c>
      <c r="E84" s="23">
        <f t="shared" ref="E84:L84" si="20">E70-E82</f>
        <v>6273915.3296336997</v>
      </c>
      <c r="F84" s="23">
        <f t="shared" si="20"/>
        <v>8197257.5999999978</v>
      </c>
      <c r="G84" s="23">
        <f t="shared" si="20"/>
        <v>11964566.84</v>
      </c>
      <c r="H84" s="23">
        <f t="shared" si="20"/>
        <v>20615761.671401974</v>
      </c>
      <c r="I84" s="23">
        <f t="shared" si="20"/>
        <v>31083514.519493245</v>
      </c>
      <c r="J84" s="23">
        <f t="shared" si="20"/>
        <v>38911628.641361773</v>
      </c>
      <c r="K84" s="23">
        <f t="shared" si="20"/>
        <v>52597829.462152988</v>
      </c>
      <c r="L84" s="23">
        <f t="shared" si="20"/>
        <v>73575989.98896122</v>
      </c>
    </row>
    <row r="85" spans="3:13" x14ac:dyDescent="0.25">
      <c r="C85" s="24" t="s">
        <v>68</v>
      </c>
      <c r="D85" s="24"/>
      <c r="E85" s="55">
        <f t="shared" ref="E85:L85" si="21">E84/E70</f>
        <v>0.8558267207944027</v>
      </c>
      <c r="F85" s="55">
        <f t="shared" si="21"/>
        <v>0.80891818353245093</v>
      </c>
      <c r="G85" s="55">
        <f t="shared" si="21"/>
        <v>0.85287448145617439</v>
      </c>
      <c r="H85" s="55">
        <f t="shared" si="21"/>
        <v>0.8647070111700037</v>
      </c>
      <c r="I85" s="55">
        <f t="shared" si="21"/>
        <v>0.85238837902570885</v>
      </c>
      <c r="J85" s="55">
        <f t="shared" si="21"/>
        <v>0.8162874583266434</v>
      </c>
      <c r="K85" s="55">
        <f t="shared" si="21"/>
        <v>0.80906512605934267</v>
      </c>
      <c r="L85" s="55">
        <f t="shared" si="21"/>
        <v>0.83648855938551525</v>
      </c>
    </row>
    <row r="86" spans="3:13" x14ac:dyDescent="0.25">
      <c r="C86" s="20"/>
      <c r="E86" s="22"/>
      <c r="F86" s="22"/>
      <c r="G86" s="22"/>
      <c r="H86" s="22"/>
      <c r="I86" s="22"/>
      <c r="J86" s="22"/>
      <c r="K86" s="22"/>
      <c r="L86" s="22"/>
    </row>
    <row r="87" spans="3:13" x14ac:dyDescent="0.25">
      <c r="C87" s="20" t="s">
        <v>69</v>
      </c>
      <c r="E87" s="22"/>
      <c r="F87" s="22"/>
      <c r="G87" s="22"/>
      <c r="H87" s="22"/>
      <c r="I87" s="22"/>
      <c r="J87" s="22"/>
      <c r="K87" s="22"/>
      <c r="L87" s="22"/>
    </row>
    <row r="88" spans="3:13" x14ac:dyDescent="0.25">
      <c r="C88" s="25" t="s">
        <v>70</v>
      </c>
      <c r="E88" s="26">
        <v>16205502.029999997</v>
      </c>
      <c r="F88" s="26">
        <v>15458082.24</v>
      </c>
      <c r="G88" s="26">
        <v>21584337.019999996</v>
      </c>
      <c r="H88" s="26">
        <v>28059935.440645032</v>
      </c>
      <c r="I88" s="26">
        <v>31630454.521357432</v>
      </c>
      <c r="J88" s="26">
        <v>36023183.527194522</v>
      </c>
      <c r="K88" s="26">
        <v>41491438.843004957</v>
      </c>
      <c r="L88" s="26">
        <v>47404233.49225343</v>
      </c>
    </row>
    <row r="89" spans="3:13" x14ac:dyDescent="0.25">
      <c r="C89" s="25" t="s">
        <v>71</v>
      </c>
      <c r="E89" s="26">
        <v>3398216.9799999995</v>
      </c>
      <c r="F89" s="26">
        <v>2208738.6900000004</v>
      </c>
      <c r="G89" s="26">
        <v>3309182.4799999977</v>
      </c>
      <c r="H89" s="26">
        <v>4211275.7761666691</v>
      </c>
      <c r="I89" s="26">
        <v>3627000</v>
      </c>
      <c r="J89" s="26">
        <v>3920400</v>
      </c>
      <c r="K89" s="26">
        <v>4283100</v>
      </c>
      <c r="L89" s="26">
        <v>4645800</v>
      </c>
    </row>
    <row r="90" spans="3:13" x14ac:dyDescent="0.25">
      <c r="C90" s="25" t="s">
        <v>72</v>
      </c>
      <c r="E90" s="26">
        <v>107605.15</v>
      </c>
      <c r="F90" s="26">
        <v>130632.22</v>
      </c>
      <c r="G90" s="26">
        <v>106648.42</v>
      </c>
      <c r="H90" s="26">
        <v>104825.19048771105</v>
      </c>
      <c r="I90" s="26">
        <v>170550.20337337858</v>
      </c>
      <c r="J90" s="26">
        <v>244763.53507989561</v>
      </c>
      <c r="K90" s="26">
        <v>486000.55667863035</v>
      </c>
      <c r="L90" s="26">
        <v>731790.04762753728</v>
      </c>
    </row>
    <row r="91" spans="3:13" x14ac:dyDescent="0.25">
      <c r="C91" s="20" t="s">
        <v>73</v>
      </c>
      <c r="E91" s="27">
        <f t="shared" ref="E91:F91" si="22">SUM(E88:E90)</f>
        <v>19711324.159999996</v>
      </c>
      <c r="F91" s="27">
        <f t="shared" si="22"/>
        <v>17797453.149999999</v>
      </c>
      <c r="G91" s="27">
        <f t="shared" ref="G91:L91" si="23">SUM(G88:G90)</f>
        <v>25000167.919999994</v>
      </c>
      <c r="H91" s="27">
        <f t="shared" si="23"/>
        <v>32376036.407299414</v>
      </c>
      <c r="I91" s="27">
        <f t="shared" si="23"/>
        <v>35428004.724730812</v>
      </c>
      <c r="J91" s="27">
        <f t="shared" si="23"/>
        <v>40188347.062274419</v>
      </c>
      <c r="K91" s="27">
        <f t="shared" si="23"/>
        <v>46260539.399683587</v>
      </c>
      <c r="L91" s="27">
        <f t="shared" si="23"/>
        <v>52781823.539880969</v>
      </c>
    </row>
    <row r="92" spans="3:13" x14ac:dyDescent="0.25">
      <c r="C92" s="20"/>
      <c r="E92" s="22"/>
      <c r="F92" s="22"/>
      <c r="G92" s="22"/>
      <c r="H92" s="22"/>
      <c r="I92" s="22"/>
      <c r="J92" s="22"/>
      <c r="K92" s="22"/>
      <c r="L92" s="22"/>
    </row>
    <row r="93" spans="3:13" x14ac:dyDescent="0.25">
      <c r="C93" s="20" t="s">
        <v>74</v>
      </c>
      <c r="E93" s="23">
        <f>E84-E91</f>
        <v>-13437408.830366297</v>
      </c>
      <c r="F93" s="23">
        <f t="shared" ref="F93:L93" si="24">F84-F91</f>
        <v>-9600195.5500000007</v>
      </c>
      <c r="G93" s="23">
        <f t="shared" si="24"/>
        <v>-13035601.079999994</v>
      </c>
      <c r="H93" s="23">
        <f t="shared" si="24"/>
        <v>-11760274.73589744</v>
      </c>
      <c r="I93" s="23">
        <f t="shared" si="24"/>
        <v>-4344490.2052375674</v>
      </c>
      <c r="J93" s="23">
        <f t="shared" si="24"/>
        <v>-1276718.4209126458</v>
      </c>
      <c r="K93" s="23">
        <f t="shared" si="24"/>
        <v>6337290.0624694005</v>
      </c>
      <c r="L93" s="23">
        <f t="shared" si="24"/>
        <v>20794166.449080251</v>
      </c>
    </row>
    <row r="94" spans="3:13" x14ac:dyDescent="0.25">
      <c r="C94" s="24" t="s">
        <v>75</v>
      </c>
      <c r="D94" s="24"/>
      <c r="E94" s="56">
        <f t="shared" ref="E94:L94" si="25">E93/E70</f>
        <v>-1.8330010736593041</v>
      </c>
      <c r="F94" s="56">
        <f t="shared" si="25"/>
        <v>-0.94736229173306952</v>
      </c>
      <c r="G94" s="56">
        <f t="shared" si="25"/>
        <v>-0.92922139683366445</v>
      </c>
      <c r="H94" s="56">
        <f t="shared" si="25"/>
        <v>-0.49327268036487859</v>
      </c>
      <c r="I94" s="56">
        <f t="shared" si="25"/>
        <v>-0.11913688078653896</v>
      </c>
      <c r="J94" s="56">
        <f t="shared" si="25"/>
        <v>-2.6782976482711336E-2</v>
      </c>
      <c r="K94" s="56">
        <f t="shared" si="25"/>
        <v>9.7480835914641364E-2</v>
      </c>
      <c r="L94" s="56">
        <f t="shared" si="25"/>
        <v>0.23640976273949463</v>
      </c>
      <c r="M94" s="83" t="s">
        <v>76</v>
      </c>
    </row>
    <row r="95" spans="3:13" x14ac:dyDescent="0.25">
      <c r="C95" s="20"/>
      <c r="E95" s="28"/>
      <c r="F95" s="28"/>
      <c r="G95" s="28"/>
      <c r="H95" s="28"/>
      <c r="I95" s="28"/>
      <c r="J95" s="28"/>
      <c r="K95" s="28"/>
      <c r="L95" s="28"/>
    </row>
    <row r="96" spans="3:13" x14ac:dyDescent="0.25">
      <c r="C96" s="25" t="s">
        <v>77</v>
      </c>
      <c r="E96" s="57">
        <v>4341.3899999999994</v>
      </c>
      <c r="F96" s="57">
        <v>-10289.200000000001</v>
      </c>
      <c r="G96" s="57">
        <v>2095026.0199999998</v>
      </c>
      <c r="H96" s="57">
        <v>-33238.9550544862</v>
      </c>
      <c r="I96" s="57">
        <v>-42637.550843344645</v>
      </c>
      <c r="J96" s="57">
        <v>-61190.883769973902</v>
      </c>
      <c r="K96" s="57">
        <v>-121500.13916965759</v>
      </c>
      <c r="L96" s="57">
        <v>-182947.51190688432</v>
      </c>
    </row>
    <row r="97" spans="1:12" x14ac:dyDescent="0.25">
      <c r="C97" s="25" t="s">
        <v>78</v>
      </c>
      <c r="E97" s="57">
        <v>9290.0899999999929</v>
      </c>
      <c r="F97" s="57">
        <v>-1417829.7599999998</v>
      </c>
      <c r="G97" s="57">
        <v>-1586599.1300000004</v>
      </c>
      <c r="H97" s="57">
        <v>-3822146.804973688</v>
      </c>
      <c r="I97" s="57">
        <v>-2987919.4432068598</v>
      </c>
      <c r="J97" s="57">
        <v>-3109651.8914431487</v>
      </c>
      <c r="K97" s="57">
        <v>-3236343.9074439886</v>
      </c>
      <c r="L97" s="57">
        <v>-3368197.5516523211</v>
      </c>
    </row>
    <row r="98" spans="1:12" x14ac:dyDescent="0.25">
      <c r="C98" s="20" t="s">
        <v>79</v>
      </c>
      <c r="E98" s="58">
        <f t="shared" ref="E98:L98" si="26">E93+SUM(E96:E97)</f>
        <v>-13423777.350366296</v>
      </c>
      <c r="F98" s="58">
        <f t="shared" si="26"/>
        <v>-11028314.51</v>
      </c>
      <c r="G98" s="58">
        <f t="shared" si="26"/>
        <v>-12527174.189999996</v>
      </c>
      <c r="H98" s="58">
        <f t="shared" si="26"/>
        <v>-15615660.495925615</v>
      </c>
      <c r="I98" s="58">
        <f t="shared" si="26"/>
        <v>-7375047.1992877722</v>
      </c>
      <c r="J98" s="58">
        <f t="shared" si="26"/>
        <v>-4447561.1961257681</v>
      </c>
      <c r="K98" s="58">
        <f t="shared" si="26"/>
        <v>2979446.0158557543</v>
      </c>
      <c r="L98" s="58">
        <f t="shared" si="26"/>
        <v>17243021.385521047</v>
      </c>
    </row>
    <row r="99" spans="1:12" x14ac:dyDescent="0.25">
      <c r="C99" s="20"/>
      <c r="E99" s="28"/>
      <c r="F99" s="28"/>
      <c r="G99" s="28"/>
      <c r="H99" s="28"/>
      <c r="I99" s="28"/>
      <c r="J99" s="28"/>
      <c r="K99" s="28"/>
      <c r="L99" s="28"/>
    </row>
    <row r="100" spans="1:12" x14ac:dyDescent="0.25">
      <c r="C100" s="25" t="s">
        <v>80</v>
      </c>
      <c r="E100" s="26">
        <v>3295.2</v>
      </c>
      <c r="F100" s="26">
        <v>488.58000000000004</v>
      </c>
      <c r="G100" s="26">
        <v>8240.68</v>
      </c>
      <c r="H100" s="26">
        <v>27232.855054486194</v>
      </c>
      <c r="I100" s="26">
        <v>682140.18064913922</v>
      </c>
      <c r="J100" s="26">
        <v>6854840.9813551465</v>
      </c>
      <c r="K100" s="26">
        <v>21698638.643255081</v>
      </c>
      <c r="L100" s="26">
        <v>37120865.831925265</v>
      </c>
    </row>
    <row r="101" spans="1:12" x14ac:dyDescent="0.25">
      <c r="C101" s="20"/>
      <c r="E101" s="28"/>
      <c r="F101" s="28"/>
      <c r="G101" s="28"/>
      <c r="H101" s="28"/>
      <c r="I101" s="28"/>
      <c r="J101" s="28"/>
      <c r="K101" s="28"/>
      <c r="L101" s="28"/>
    </row>
    <row r="102" spans="1:12" x14ac:dyDescent="0.25">
      <c r="C102" s="20" t="s">
        <v>81</v>
      </c>
      <c r="E102" s="29">
        <f t="shared" ref="E102:L102" si="27">E98-E100</f>
        <v>-13427072.550366296</v>
      </c>
      <c r="F102" s="29">
        <f t="shared" si="27"/>
        <v>-11028803.09</v>
      </c>
      <c r="G102" s="29">
        <f t="shared" si="27"/>
        <v>-12535414.869999995</v>
      </c>
      <c r="H102" s="29">
        <f t="shared" si="27"/>
        <v>-15642893.350980101</v>
      </c>
      <c r="I102" s="29">
        <f t="shared" si="27"/>
        <v>-8057187.3799369112</v>
      </c>
      <c r="J102" s="29">
        <f t="shared" si="27"/>
        <v>-11302402.177480914</v>
      </c>
      <c r="K102" s="29">
        <f t="shared" si="27"/>
        <v>-18719192.627399325</v>
      </c>
      <c r="L102" s="29">
        <f t="shared" si="27"/>
        <v>-19877844.446404219</v>
      </c>
    </row>
    <row r="103" spans="1:12" x14ac:dyDescent="0.25">
      <c r="C103" s="20"/>
      <c r="E103" s="28"/>
      <c r="F103" s="28"/>
      <c r="G103" s="28"/>
      <c r="H103" s="28"/>
      <c r="I103" s="28"/>
      <c r="J103" s="28"/>
      <c r="K103" s="28"/>
      <c r="L103" s="28"/>
    </row>
    <row r="104" spans="1:12" x14ac:dyDescent="0.25">
      <c r="C104" s="32" t="s">
        <v>82</v>
      </c>
      <c r="D104" s="61"/>
      <c r="E104" s="62">
        <f t="shared" ref="E104:L104" si="28">E93+E90</f>
        <v>-13329803.680366296</v>
      </c>
      <c r="F104" s="62">
        <f t="shared" si="28"/>
        <v>-9469563.3300000001</v>
      </c>
      <c r="G104" s="62">
        <f t="shared" si="28"/>
        <v>-12928952.659999995</v>
      </c>
      <c r="H104" s="62">
        <f t="shared" si="28"/>
        <v>-11655449.54540973</v>
      </c>
      <c r="I104" s="62">
        <f t="shared" si="28"/>
        <v>-4173940.0018641888</v>
      </c>
      <c r="J104" s="62">
        <f t="shared" si="28"/>
        <v>-1031954.8858327501</v>
      </c>
      <c r="K104" s="62">
        <f t="shared" si="28"/>
        <v>6823290.6191480309</v>
      </c>
      <c r="L104" s="62">
        <f t="shared" si="28"/>
        <v>21525956.49670779</v>
      </c>
    </row>
    <row r="105" spans="1:12" ht="21" x14ac:dyDescent="0.35">
      <c r="C105" s="87" t="s">
        <v>83</v>
      </c>
      <c r="D105" s="30"/>
      <c r="E105" s="31">
        <f t="shared" ref="E105:L105" si="29">E104/E70</f>
        <v>-1.8183226220343494</v>
      </c>
      <c r="F105" s="31">
        <f t="shared" si="29"/>
        <v>-0.93447130022473723</v>
      </c>
      <c r="G105" s="31">
        <f t="shared" si="29"/>
        <v>-0.92161913950818153</v>
      </c>
      <c r="H105" s="31">
        <f t="shared" si="29"/>
        <v>-0.48887589509898693</v>
      </c>
      <c r="I105" s="31">
        <f t="shared" si="29"/>
        <v>-0.11445996398214185</v>
      </c>
      <c r="J105" s="31">
        <f t="shared" si="29"/>
        <v>-2.1648331367162661E-2</v>
      </c>
      <c r="K105" s="31">
        <f t="shared" si="29"/>
        <v>0.10495654557176781</v>
      </c>
      <c r="L105" s="31">
        <f t="shared" si="29"/>
        <v>0.24472951491414369</v>
      </c>
    </row>
    <row r="106" spans="1:12" x14ac:dyDescent="0.25">
      <c r="C106" s="20"/>
      <c r="E106" s="28"/>
      <c r="F106" s="28"/>
      <c r="G106" s="28"/>
      <c r="H106" s="28"/>
      <c r="I106" s="28"/>
      <c r="J106" s="28"/>
      <c r="K106" s="28"/>
      <c r="L106" s="28"/>
    </row>
    <row r="107" spans="1:12" x14ac:dyDescent="0.25">
      <c r="A107" s="24" t="s">
        <v>84</v>
      </c>
      <c r="D107" s="69"/>
    </row>
    <row r="108" spans="1:12" x14ac:dyDescent="0.25">
      <c r="A108" s="24" t="s">
        <v>85</v>
      </c>
      <c r="D108" s="68">
        <v>0.3</v>
      </c>
      <c r="E108" s="83" t="s">
        <v>86</v>
      </c>
    </row>
    <row r="109" spans="1:12" x14ac:dyDescent="0.25">
      <c r="A109" s="24" t="s">
        <v>87</v>
      </c>
      <c r="C109" s="65"/>
      <c r="D109" s="61">
        <v>15</v>
      </c>
    </row>
    <row r="110" spans="1:12" x14ac:dyDescent="0.25">
      <c r="A110" s="24"/>
    </row>
    <row r="111" spans="1:12" x14ac:dyDescent="0.25">
      <c r="C111" s="63" t="s">
        <v>88</v>
      </c>
      <c r="E111" s="66"/>
      <c r="F111" s="66"/>
      <c r="G111" s="66"/>
      <c r="H111" s="66"/>
      <c r="I111" s="66"/>
      <c r="J111" s="66"/>
      <c r="K111" s="66"/>
      <c r="L111" s="66"/>
    </row>
    <row r="112" spans="1:12" x14ac:dyDescent="0.25">
      <c r="C112" s="64" t="s">
        <v>89</v>
      </c>
      <c r="E112" s="67">
        <f>E93</f>
        <v>-13437408.830366297</v>
      </c>
      <c r="F112" s="67">
        <f t="shared" ref="F112:L112" si="30">F93</f>
        <v>-9600195.5500000007</v>
      </c>
      <c r="G112" s="67">
        <f t="shared" si="30"/>
        <v>-13035601.079999994</v>
      </c>
      <c r="H112" s="67">
        <f t="shared" si="30"/>
        <v>-11760274.73589744</v>
      </c>
      <c r="I112" s="67">
        <f t="shared" si="30"/>
        <v>-4344490.2052375674</v>
      </c>
      <c r="J112" s="67">
        <f t="shared" si="30"/>
        <v>-1276718.4209126458</v>
      </c>
      <c r="K112" s="67">
        <f t="shared" si="30"/>
        <v>6337290.0624694005</v>
      </c>
      <c r="L112" s="67">
        <f t="shared" si="30"/>
        <v>20794166.449080251</v>
      </c>
    </row>
    <row r="113" spans="3:12" x14ac:dyDescent="0.25">
      <c r="C113" s="64" t="s">
        <v>90</v>
      </c>
      <c r="E113" s="67">
        <f>-E100</f>
        <v>-3295.2</v>
      </c>
      <c r="F113" s="67">
        <f t="shared" ref="F113:L113" si="31">-F100</f>
        <v>-488.58000000000004</v>
      </c>
      <c r="G113" s="67">
        <f t="shared" si="31"/>
        <v>-8240.68</v>
      </c>
      <c r="H113" s="67">
        <f t="shared" si="31"/>
        <v>-27232.855054486194</v>
      </c>
      <c r="I113" s="67">
        <f t="shared" si="31"/>
        <v>-682140.18064913922</v>
      </c>
      <c r="J113" s="67">
        <f t="shared" si="31"/>
        <v>-6854840.9813551465</v>
      </c>
      <c r="K113" s="67">
        <f t="shared" si="31"/>
        <v>-21698638.643255081</v>
      </c>
      <c r="L113" s="67">
        <f t="shared" si="31"/>
        <v>-37120865.831925265</v>
      </c>
    </row>
    <row r="114" spans="3:12" x14ac:dyDescent="0.25">
      <c r="C114" s="64" t="s">
        <v>91</v>
      </c>
      <c r="E114" s="67">
        <f>E90</f>
        <v>107605.15</v>
      </c>
      <c r="F114" s="67">
        <f t="shared" ref="F114:L114" si="32">F90</f>
        <v>130632.22</v>
      </c>
      <c r="G114" s="67">
        <f t="shared" si="32"/>
        <v>106648.42</v>
      </c>
      <c r="H114" s="67">
        <f t="shared" si="32"/>
        <v>104825.19048771105</v>
      </c>
      <c r="I114" s="67">
        <f t="shared" si="32"/>
        <v>170550.20337337858</v>
      </c>
      <c r="J114" s="67">
        <f t="shared" si="32"/>
        <v>244763.53507989561</v>
      </c>
      <c r="K114" s="67">
        <f t="shared" si="32"/>
        <v>486000.55667863035</v>
      </c>
      <c r="L114" s="67">
        <f t="shared" si="32"/>
        <v>731790.04762753728</v>
      </c>
    </row>
    <row r="115" spans="3:12" x14ac:dyDescent="0.25">
      <c r="C115" s="64" t="s">
        <v>92</v>
      </c>
      <c r="E115" s="66"/>
      <c r="F115" s="66"/>
      <c r="G115" s="66"/>
      <c r="H115" s="66"/>
      <c r="I115" s="66"/>
      <c r="J115" s="66"/>
      <c r="K115" s="66"/>
      <c r="L115" s="66"/>
    </row>
    <row r="116" spans="3:12" x14ac:dyDescent="0.25">
      <c r="C116" s="64" t="s">
        <v>93</v>
      </c>
      <c r="E116" s="66"/>
      <c r="F116" s="66"/>
      <c r="G116" s="66"/>
      <c r="H116" s="66"/>
      <c r="I116" s="66"/>
      <c r="J116" s="66"/>
      <c r="K116" s="66"/>
      <c r="L116" s="66"/>
    </row>
    <row r="117" spans="3:12" x14ac:dyDescent="0.25">
      <c r="C117" s="64" t="s">
        <v>94</v>
      </c>
      <c r="E117" s="67">
        <f>SUM(E112:E114)</f>
        <v>-13333098.880366296</v>
      </c>
      <c r="F117" s="67">
        <f t="shared" ref="F117:L117" si="33">SUM(F112:F114)</f>
        <v>-9470051.9100000001</v>
      </c>
      <c r="G117" s="67">
        <f t="shared" si="33"/>
        <v>-12937193.339999994</v>
      </c>
      <c r="H117" s="67">
        <f t="shared" si="33"/>
        <v>-11682682.400464216</v>
      </c>
      <c r="I117" s="67">
        <f t="shared" si="33"/>
        <v>-4856080.1825133283</v>
      </c>
      <c r="J117" s="67">
        <f t="shared" si="33"/>
        <v>-7886795.8671878967</v>
      </c>
      <c r="K117" s="67">
        <f t="shared" si="33"/>
        <v>-14875348.02410705</v>
      </c>
      <c r="L117" s="67">
        <f t="shared" si="33"/>
        <v>-15594909.335217478</v>
      </c>
    </row>
    <row r="118" spans="3:12" x14ac:dyDescent="0.25">
      <c r="C118" s="64" t="s">
        <v>95</v>
      </c>
      <c r="E118" s="66"/>
      <c r="F118" s="66"/>
      <c r="G118" s="66"/>
      <c r="H118" s="66"/>
      <c r="I118" s="66"/>
      <c r="J118" s="66"/>
      <c r="K118" s="66"/>
      <c r="L118" s="82">
        <f>L104*D109</f>
        <v>322889347.45061684</v>
      </c>
    </row>
    <row r="119" spans="3:12" x14ac:dyDescent="0.25">
      <c r="C119" s="64" t="s">
        <v>96</v>
      </c>
      <c r="D119" s="79">
        <f>NPV(D108,H117,I117,J117,K117,L117+L118)</f>
        <v>62105152.346951045</v>
      </c>
      <c r="E119" s="66"/>
      <c r="F119" s="66"/>
      <c r="G119" s="66"/>
      <c r="H119" s="66"/>
      <c r="I119" s="66"/>
      <c r="J119" s="66"/>
      <c r="K119" s="66"/>
      <c r="L119" s="66"/>
    </row>
    <row r="120" spans="3:12" x14ac:dyDescent="0.25">
      <c r="L120" s="78"/>
    </row>
    <row r="121" spans="3:12" x14ac:dyDescent="0.25">
      <c r="L121" s="78"/>
    </row>
    <row r="122" spans="3:12" x14ac:dyDescent="0.25">
      <c r="C122" s="64" t="s">
        <v>97</v>
      </c>
      <c r="D122" s="79">
        <v>20000000</v>
      </c>
      <c r="E122" s="83" t="s">
        <v>98</v>
      </c>
    </row>
    <row r="123" spans="3:12" x14ac:dyDescent="0.25">
      <c r="C123" s="64" t="s">
        <v>99</v>
      </c>
      <c r="D123" s="80">
        <f>D119+D122</f>
        <v>82105152.346951038</v>
      </c>
    </row>
    <row r="124" spans="3:12" x14ac:dyDescent="0.25">
      <c r="C124" s="64" t="s">
        <v>100</v>
      </c>
      <c r="D124" s="79">
        <v>5000000</v>
      </c>
    </row>
    <row r="125" spans="3:12" x14ac:dyDescent="0.25">
      <c r="C125" s="64" t="s">
        <v>101</v>
      </c>
      <c r="D125" s="35">
        <f>D124/D123</f>
        <v>6.0897518085972761E-2</v>
      </c>
      <c r="E125" s="84">
        <f>D125*L118</f>
        <v>19663159.876141883</v>
      </c>
    </row>
    <row r="126" spans="3:12" x14ac:dyDescent="0.25">
      <c r="C126" s="64" t="s">
        <v>102</v>
      </c>
      <c r="D126" s="35">
        <f>(E125/D124)^(1/4)-1</f>
        <v>0.40822103271892596</v>
      </c>
      <c r="E126" s="83" t="s">
        <v>103</v>
      </c>
      <c r="L126" s="81"/>
    </row>
    <row r="127" spans="3:12" x14ac:dyDescent="0.25">
      <c r="E127" s="83" t="s">
        <v>127</v>
      </c>
    </row>
    <row r="128" spans="3:12" x14ac:dyDescent="0.25">
      <c r="D128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7"/>
  <sheetViews>
    <sheetView workbookViewId="0">
      <selection activeCell="E6" sqref="E6"/>
    </sheetView>
  </sheetViews>
  <sheetFormatPr defaultRowHeight="15" x14ac:dyDescent="0.25"/>
  <cols>
    <col min="2" max="2" width="33.5703125" customWidth="1"/>
    <col min="3" max="3" width="12.7109375" customWidth="1"/>
    <col min="4" max="4" width="12.85546875" customWidth="1"/>
    <col min="5" max="5" width="16.140625" customWidth="1"/>
    <col min="6" max="6" width="16.42578125" customWidth="1"/>
    <col min="7" max="8" width="10.85546875" customWidth="1"/>
  </cols>
  <sheetData>
    <row r="2" spans="1:8" ht="47.25" x14ac:dyDescent="0.25">
      <c r="B2" s="1" t="s">
        <v>105</v>
      </c>
      <c r="C2" s="2" t="s">
        <v>106</v>
      </c>
      <c r="D2" s="2" t="s">
        <v>107</v>
      </c>
      <c r="E2" s="2" t="s">
        <v>108</v>
      </c>
      <c r="F2" s="2" t="s">
        <v>109</v>
      </c>
      <c r="G2" s="2" t="s">
        <v>110</v>
      </c>
      <c r="H2" s="3" t="s">
        <v>111</v>
      </c>
    </row>
    <row r="3" spans="1:8" ht="15.75" x14ac:dyDescent="0.25">
      <c r="B3" s="4" t="s">
        <v>112</v>
      </c>
      <c r="C3" s="9">
        <v>8.65</v>
      </c>
      <c r="D3" s="11">
        <v>71.75</v>
      </c>
      <c r="E3" s="11">
        <v>12.1</v>
      </c>
      <c r="F3" s="11">
        <v>15.1</v>
      </c>
      <c r="G3" s="13">
        <f>D3/E3</f>
        <v>5.9297520661157028</v>
      </c>
      <c r="H3" s="14">
        <f>D3/F3</f>
        <v>4.7516556291390728</v>
      </c>
    </row>
    <row r="4" spans="1:8" ht="15.75" x14ac:dyDescent="0.25">
      <c r="B4" s="5" t="s">
        <v>113</v>
      </c>
      <c r="C4" s="10">
        <v>1.97</v>
      </c>
      <c r="D4" s="12">
        <v>70</v>
      </c>
      <c r="E4" s="12">
        <v>31.5</v>
      </c>
      <c r="F4" s="12">
        <v>34.5</v>
      </c>
      <c r="G4" s="13">
        <f>D4/E4</f>
        <v>2.2222222222222223</v>
      </c>
      <c r="H4" s="14">
        <f>D4/F4</f>
        <v>2.0289855072463769</v>
      </c>
    </row>
    <row r="5" spans="1:8" ht="15.75" x14ac:dyDescent="0.25">
      <c r="A5" t="s">
        <v>35</v>
      </c>
      <c r="B5" s="5" t="s">
        <v>114</v>
      </c>
      <c r="C5" s="10">
        <v>1.32</v>
      </c>
      <c r="D5" s="12">
        <v>317</v>
      </c>
      <c r="E5" s="12">
        <v>30</v>
      </c>
      <c r="F5" s="12">
        <v>33</v>
      </c>
      <c r="G5" s="13">
        <f t="shared" ref="G5:G6" si="0">D5/E5</f>
        <v>10.566666666666666</v>
      </c>
      <c r="H5" s="14">
        <f t="shared" ref="H5:H6" si="1">D5/F5</f>
        <v>9.6060606060606055</v>
      </c>
    </row>
    <row r="6" spans="1:8" ht="15.75" x14ac:dyDescent="0.25">
      <c r="B6" s="5" t="s">
        <v>115</v>
      </c>
      <c r="C6" s="10">
        <v>6.23</v>
      </c>
      <c r="D6" s="12">
        <v>336.05</v>
      </c>
      <c r="E6" s="12">
        <v>115.871</v>
      </c>
      <c r="F6" s="12">
        <v>-27063</v>
      </c>
      <c r="G6" s="13">
        <f t="shared" si="0"/>
        <v>2.9002079899198248</v>
      </c>
      <c r="H6" s="14">
        <f t="shared" si="1"/>
        <v>-1.2417322543694343E-2</v>
      </c>
    </row>
    <row r="7" spans="1:8" ht="15.75" x14ac:dyDescent="0.25">
      <c r="B7" s="6" t="s">
        <v>116</v>
      </c>
      <c r="C7" s="7" t="s">
        <v>116</v>
      </c>
      <c r="D7" s="7" t="s">
        <v>116</v>
      </c>
      <c r="E7" s="7" t="s">
        <v>116</v>
      </c>
      <c r="F7" s="8" t="s">
        <v>117</v>
      </c>
      <c r="G7" s="17">
        <f>MEDIAN(G3:G6)</f>
        <v>4.414980028017764</v>
      </c>
      <c r="H7" s="18">
        <f>MEDIAN((H3:H6))</f>
        <v>3.3903205681927249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workbookViewId="0">
      <selection activeCell="C23" sqref="C23"/>
    </sheetView>
  </sheetViews>
  <sheetFormatPr defaultRowHeight="15" x14ac:dyDescent="0.25"/>
  <cols>
    <col min="2" max="2" width="25" customWidth="1"/>
    <col min="3" max="3" width="14.85546875" customWidth="1"/>
    <col min="4" max="4" width="28.140625" customWidth="1"/>
    <col min="5" max="5" width="7.7109375" customWidth="1"/>
    <col min="6" max="6" width="13.5703125" customWidth="1"/>
    <col min="7" max="7" width="15.7109375" customWidth="1"/>
    <col min="8" max="8" width="14.140625" customWidth="1"/>
    <col min="9" max="10" width="10.85546875" customWidth="1"/>
  </cols>
  <sheetData>
    <row r="2" spans="1:10" ht="31.7" customHeight="1" x14ac:dyDescent="0.25">
      <c r="B2" s="1" t="s">
        <v>118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3" t="s">
        <v>126</v>
      </c>
    </row>
    <row r="3" spans="1:10" ht="15.75" x14ac:dyDescent="0.25">
      <c r="B3" s="4"/>
      <c r="C3" s="9"/>
      <c r="D3" s="9"/>
      <c r="E3" s="11"/>
      <c r="F3" s="11"/>
      <c r="G3" s="11"/>
      <c r="H3" s="11"/>
      <c r="I3" s="13"/>
      <c r="J3" s="14"/>
    </row>
    <row r="4" spans="1:10" ht="15.75" x14ac:dyDescent="0.25">
      <c r="B4" s="5"/>
      <c r="C4" s="19"/>
      <c r="D4" s="19"/>
      <c r="E4" s="12"/>
      <c r="F4" s="12"/>
      <c r="G4" s="12"/>
      <c r="H4" s="12"/>
      <c r="I4" s="15"/>
      <c r="J4" s="16"/>
    </row>
    <row r="5" spans="1:10" ht="15.75" x14ac:dyDescent="0.25">
      <c r="B5" s="5"/>
      <c r="C5" s="19"/>
      <c r="D5" s="19"/>
      <c r="E5" s="12"/>
      <c r="F5" s="12"/>
      <c r="G5" s="12"/>
      <c r="H5" s="12"/>
      <c r="I5" s="15"/>
      <c r="J5" s="16"/>
    </row>
    <row r="6" spans="1:10" ht="15.75" x14ac:dyDescent="0.25">
      <c r="B6" s="5"/>
      <c r="C6" s="19"/>
      <c r="D6" s="19"/>
      <c r="E6" s="12"/>
      <c r="F6" s="12"/>
      <c r="G6" s="12"/>
      <c r="H6" s="12"/>
      <c r="I6" s="15"/>
      <c r="J6" s="16"/>
    </row>
    <row r="7" spans="1:10" ht="15.75" x14ac:dyDescent="0.25">
      <c r="B7" s="5"/>
      <c r="C7" s="10"/>
      <c r="D7" s="10"/>
      <c r="E7" s="12"/>
      <c r="F7" s="12"/>
      <c r="G7" s="12"/>
      <c r="H7" s="12"/>
      <c r="I7" s="15"/>
      <c r="J7" s="16"/>
    </row>
    <row r="8" spans="1:10" ht="15.75" x14ac:dyDescent="0.25">
      <c r="A8" t="s">
        <v>35</v>
      </c>
      <c r="B8" s="5"/>
      <c r="C8" s="10"/>
      <c r="D8" s="10"/>
      <c r="E8" s="12"/>
      <c r="F8" s="12"/>
      <c r="G8" s="12"/>
      <c r="H8" s="12"/>
      <c r="I8" s="15"/>
      <c r="J8" s="16"/>
    </row>
    <row r="9" spans="1:10" ht="15.75" x14ac:dyDescent="0.25">
      <c r="B9" s="5"/>
      <c r="C9" s="10"/>
      <c r="D9" s="10"/>
      <c r="E9" s="12"/>
      <c r="F9" s="12"/>
      <c r="G9" s="12"/>
      <c r="H9" s="12"/>
      <c r="I9" s="15"/>
      <c r="J9" s="16"/>
    </row>
    <row r="10" spans="1:10" ht="15.75" x14ac:dyDescent="0.25">
      <c r="B10" s="5"/>
      <c r="C10" s="10"/>
      <c r="D10" s="10"/>
      <c r="E10" s="12"/>
      <c r="F10" s="12"/>
      <c r="G10" s="12"/>
      <c r="H10" s="12"/>
      <c r="I10" s="15"/>
      <c r="J10" s="16"/>
    </row>
    <row r="11" spans="1:10" ht="15.75" x14ac:dyDescent="0.25">
      <c r="B11" s="5"/>
      <c r="C11" s="10"/>
      <c r="D11" s="10"/>
      <c r="E11" s="12"/>
      <c r="F11" s="12"/>
      <c r="G11" s="12"/>
      <c r="H11" s="12"/>
      <c r="I11" s="15"/>
      <c r="J11" s="16"/>
    </row>
    <row r="12" spans="1:10" ht="15.75" x14ac:dyDescent="0.25">
      <c r="B12" s="5"/>
      <c r="C12" s="10"/>
      <c r="D12" s="10"/>
      <c r="E12" s="12"/>
      <c r="F12" s="12"/>
      <c r="G12" s="12"/>
      <c r="H12" s="12"/>
      <c r="I12" s="15"/>
      <c r="J12" s="16"/>
    </row>
    <row r="13" spans="1:10" ht="15.75" x14ac:dyDescent="0.25">
      <c r="B13" s="6" t="s">
        <v>116</v>
      </c>
      <c r="C13" s="7" t="s">
        <v>116</v>
      </c>
      <c r="D13" s="7"/>
      <c r="E13" s="7" t="s">
        <v>116</v>
      </c>
      <c r="F13" s="7" t="s">
        <v>116</v>
      </c>
      <c r="G13" s="8"/>
      <c r="H13" s="8" t="s">
        <v>117</v>
      </c>
      <c r="I13" s="17" t="e">
        <f>MEDIAN(I3:I12)</f>
        <v>#NUM!</v>
      </c>
      <c r="J13" s="18" t="e">
        <f>MEDIAN((J3:J12))</f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F65F3645CB84989A87C1DB767E921" ma:contentTypeVersion="4" ma:contentTypeDescription="Create a new document." ma:contentTypeScope="" ma:versionID="f79012c765d0428270b809e3c34ba3d3">
  <xsd:schema xmlns:xsd="http://www.w3.org/2001/XMLSchema" xmlns:xs="http://www.w3.org/2001/XMLSchema" xmlns:p="http://schemas.microsoft.com/office/2006/metadata/properties" xmlns:ns2="b21745bd-9c6e-48f0-a217-cbf819078ee3" xmlns:ns3="e9992c7c-5d8d-4eb5-b61e-4d51f5be2637" targetNamespace="http://schemas.microsoft.com/office/2006/metadata/properties" ma:root="true" ma:fieldsID="8173875f10de2f2124f742eaf26e4ea7" ns2:_="" ns3:_="">
    <xsd:import namespace="b21745bd-9c6e-48f0-a217-cbf819078ee3"/>
    <xsd:import namespace="e9992c7c-5d8d-4eb5-b61e-4d51f5be2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745bd-9c6e-48f0-a217-cbf819078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92c7c-5d8d-4eb5-b61e-4d51f5be2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A7798D-8C0D-4D03-AA09-24B9E4DE2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1745bd-9c6e-48f0-a217-cbf819078ee3"/>
    <ds:schemaRef ds:uri="e9992c7c-5d8d-4eb5-b61e-4d51f5be2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21844B-D004-450C-B074-EE2A62C39DC5}">
  <ds:schemaRefs>
    <ds:schemaRef ds:uri="http://purl.org/dc/terms/"/>
    <ds:schemaRef ds:uri="e9992c7c-5d8d-4eb5-b61e-4d51f5be2637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b21745bd-9c6e-48f0-a217-cbf819078ee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FF7819-C88C-4150-A1B1-6AFE04CF9D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(mgmt projections)</vt:lpstr>
      <vt:lpstr>Model</vt:lpstr>
      <vt:lpstr>Comps</vt:lpstr>
      <vt:lpstr>Precedents</vt:lpstr>
    </vt:vector>
  </TitlesOfParts>
  <Manager/>
  <Company>Dartmouth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Bolduc, Matthew S.</dc:creator>
  <cp:keywords/>
  <dc:description/>
  <cp:lastModifiedBy>Emma McLaughlin</cp:lastModifiedBy>
  <cp:revision/>
  <dcterms:created xsi:type="dcterms:W3CDTF">2019-05-29T19:47:24Z</dcterms:created>
  <dcterms:modified xsi:type="dcterms:W3CDTF">2022-10-18T11:28:52Z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0x010100B4AF65F3645CB84989A87C1DB767E921</vt:lpwstr>
  </property>
</Properties>
</file>