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anmayshukla/Downloads/PEVC/OneDrive_1_11-11-2022/Capstone Spinal Case/"/>
    </mc:Choice>
  </mc:AlternateContent>
  <xr:revisionPtr revIDLastSave="0" documentId="8_{8A8AEA7B-335A-FF4C-A5FE-15BBBC5AAC74}" xr6:coauthVersionLast="47" xr6:coauthVersionMax="47" xr10:uidLastSave="{00000000-0000-0000-0000-000000000000}"/>
  <bookViews>
    <workbookView xWindow="1560" yWindow="1560" windowWidth="26140" windowHeight="14620" activeTab="9" xr2:uid="{00000000-000D-0000-FFFF-FFFF00000000}"/>
  </bookViews>
  <sheets>
    <sheet name="Model" sheetId="1" r:id="rId1"/>
    <sheet name="CIM Exhibits &gt;&gt;&gt;" sheetId="2" r:id="rId2"/>
    <sheet name="Income Statement" sheetId="3" r:id="rId3"/>
    <sheet name="EBITDA Adj." sheetId="11" r:id="rId4"/>
    <sheet name="Product Lines" sheetId="5" r:id="rId5"/>
    <sheet name="QofE Exhibits &gt;&gt;&gt;" sheetId="6" r:id="rId6"/>
    <sheet name="QofE" sheetId="7" r:id="rId7"/>
    <sheet name="QofNWC" sheetId="8" r:id="rId8"/>
    <sheet name="Monthly NWC" sheetId="9" r:id="rId9"/>
    <sheet name="Debt" sheetId="10" r:id="rId10"/>
    <sheet name="Sheet1" sheetId="12" r:id="rId11"/>
  </sheets>
  <calcPr calcId="191028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9" l="1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D18" i="9"/>
  <c r="J41" i="1"/>
  <c r="L23" i="1"/>
  <c r="I74" i="1"/>
  <c r="D114" i="1"/>
  <c r="M79" i="1"/>
  <c r="N79" i="1" s="1"/>
  <c r="J74" i="1"/>
  <c r="K74" i="1"/>
  <c r="L74" i="1"/>
  <c r="M74" i="1" s="1"/>
  <c r="N74" i="1" s="1"/>
  <c r="M73" i="1"/>
  <c r="N73" i="1" s="1"/>
  <c r="I35" i="1"/>
  <c r="F242" i="1" l="1"/>
  <c r="M132" i="1" l="1"/>
  <c r="N132" i="1"/>
  <c r="M198" i="1"/>
  <c r="N198" i="1"/>
  <c r="M284" i="1"/>
  <c r="N284" i="1"/>
  <c r="G106" i="1"/>
  <c r="G103" i="1"/>
  <c r="G72" i="1" s="1"/>
  <c r="H75" i="1" s="1"/>
  <c r="I75" i="1" s="1"/>
  <c r="J75" i="1" s="1"/>
  <c r="K75" i="1" s="1"/>
  <c r="L75" i="1" s="1"/>
  <c r="M75" i="1" s="1"/>
  <c r="N75" i="1" s="1"/>
  <c r="G100" i="1"/>
  <c r="G98" i="1"/>
  <c r="G186" i="1" s="1"/>
  <c r="H281" i="1"/>
  <c r="I281" i="1" s="1"/>
  <c r="J281" i="1" s="1"/>
  <c r="K281" i="1" s="1"/>
  <c r="L281" i="1" s="1"/>
  <c r="M281" i="1" s="1"/>
  <c r="I284" i="1"/>
  <c r="J284" i="1"/>
  <c r="K284" i="1"/>
  <c r="L284" i="1"/>
  <c r="H284" i="1"/>
  <c r="G284" i="1"/>
  <c r="D18" i="1"/>
  <c r="L35" i="1"/>
  <c r="L44" i="1" s="1"/>
  <c r="K44" i="1"/>
  <c r="J35" i="1"/>
  <c r="J44" i="1" s="1"/>
  <c r="E213" i="1"/>
  <c r="N281" i="1" l="1"/>
  <c r="G78" i="1"/>
  <c r="H80" i="1" s="1"/>
  <c r="I80" i="1" s="1"/>
  <c r="J80" i="1" s="1"/>
  <c r="K80" i="1" s="1"/>
  <c r="L80" i="1" s="1"/>
  <c r="M80" i="1" s="1"/>
  <c r="N80" i="1" s="1"/>
  <c r="D213" i="1"/>
  <c r="F217" i="1" l="1"/>
  <c r="I132" i="1"/>
  <c r="J132" i="1"/>
  <c r="K132" i="1"/>
  <c r="L132" i="1"/>
  <c r="H132" i="1"/>
  <c r="G208" i="1"/>
  <c r="H208" i="1" s="1"/>
  <c r="I208" i="1" s="1"/>
  <c r="J208" i="1" s="1"/>
  <c r="K208" i="1" s="1"/>
  <c r="L208" i="1" s="1"/>
  <c r="M208" i="1" s="1"/>
  <c r="H206" i="1"/>
  <c r="I206" i="1" s="1"/>
  <c r="J206" i="1" s="1"/>
  <c r="K206" i="1" s="1"/>
  <c r="L206" i="1" s="1"/>
  <c r="M206" i="1" s="1"/>
  <c r="N206" i="1" s="1"/>
  <c r="E239" i="1"/>
  <c r="D239" i="1"/>
  <c r="E231" i="1"/>
  <c r="D231" i="1"/>
  <c r="D223" i="1"/>
  <c r="E223" i="1"/>
  <c r="F216" i="1"/>
  <c r="F243" i="1"/>
  <c r="F233" i="1"/>
  <c r="F225" i="1"/>
  <c r="G271" i="1"/>
  <c r="G139" i="1"/>
  <c r="H131" i="1" s="1"/>
  <c r="L20" i="1"/>
  <c r="D60" i="1"/>
  <c r="G198" i="1"/>
  <c r="H198" i="1"/>
  <c r="I198" i="1"/>
  <c r="J198" i="1"/>
  <c r="K198" i="1"/>
  <c r="L198" i="1"/>
  <c r="F182" i="1"/>
  <c r="F187" i="1"/>
  <c r="F98" i="1"/>
  <c r="G99" i="1" s="1"/>
  <c r="G60" i="1" s="1"/>
  <c r="E98" i="1"/>
  <c r="E106" i="1"/>
  <c r="F106" i="1"/>
  <c r="D106" i="1"/>
  <c r="E103" i="1"/>
  <c r="F103" i="1"/>
  <c r="D103" i="1"/>
  <c r="E100" i="1"/>
  <c r="F100" i="1"/>
  <c r="D100" i="1"/>
  <c r="D98" i="1"/>
  <c r="I30" i="1"/>
  <c r="I29" i="1"/>
  <c r="N208" i="1" l="1"/>
  <c r="F189" i="1"/>
  <c r="F78" i="1"/>
  <c r="F72" i="1"/>
  <c r="D72" i="1"/>
  <c r="G147" i="1"/>
  <c r="E72" i="1"/>
  <c r="D78" i="1"/>
  <c r="E78" i="1"/>
  <c r="F193" i="1"/>
  <c r="F99" i="1"/>
  <c r="F60" i="1" s="1"/>
  <c r="F101" i="1"/>
  <c r="F102" i="1" s="1"/>
  <c r="F66" i="1" s="1"/>
  <c r="E101" i="1"/>
  <c r="E102" i="1" s="1"/>
  <c r="E66" i="1" s="1"/>
  <c r="E99" i="1"/>
  <c r="E60" i="1" s="1"/>
  <c r="D101" i="1"/>
  <c r="D102" i="1" s="1"/>
  <c r="D66" i="1" s="1"/>
  <c r="G287" i="1" l="1"/>
  <c r="F190" i="1"/>
  <c r="E104" i="1"/>
  <c r="E107" i="1" s="1"/>
  <c r="E283" i="1" s="1"/>
  <c r="F104" i="1"/>
  <c r="F105" i="1" s="1"/>
  <c r="D104" i="1"/>
  <c r="D105" i="1" s="1"/>
  <c r="E105" i="1" l="1"/>
  <c r="F107" i="1"/>
  <c r="F283" i="1" s="1"/>
  <c r="D107" i="1"/>
  <c r="D283" i="1" s="1"/>
  <c r="E108" i="1"/>
  <c r="F108" i="1" l="1"/>
  <c r="D108" i="1"/>
  <c r="C19" i="7" l="1"/>
  <c r="C28" i="7" s="1"/>
  <c r="C30" i="7" s="1"/>
  <c r="C31" i="7" s="1"/>
  <c r="E60" i="7"/>
  <c r="F54" i="7"/>
  <c r="G54" i="7"/>
  <c r="C54" i="7"/>
  <c r="D54" i="7"/>
  <c r="E51" i="7"/>
  <c r="E54" i="7" s="1"/>
  <c r="G45" i="7"/>
  <c r="F45" i="7"/>
  <c r="C45" i="7"/>
  <c r="D45" i="7"/>
  <c r="E35" i="7"/>
  <c r="E36" i="7"/>
  <c r="E37" i="7"/>
  <c r="E38" i="7"/>
  <c r="E39" i="7"/>
  <c r="E40" i="7"/>
  <c r="E44" i="7"/>
  <c r="E34" i="7"/>
  <c r="D28" i="7"/>
  <c r="D30" i="7" s="1"/>
  <c r="D31" i="7" s="1"/>
  <c r="F28" i="7"/>
  <c r="F30" i="7" s="1"/>
  <c r="F31" i="7" s="1"/>
  <c r="G28" i="7"/>
  <c r="G30" i="7" s="1"/>
  <c r="G31" i="7" s="1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14" i="7"/>
  <c r="D11" i="7"/>
  <c r="F11" i="7"/>
  <c r="G11" i="7"/>
  <c r="C11" i="7"/>
  <c r="E10" i="7"/>
  <c r="E11" i="7" s="1"/>
  <c r="E6" i="7"/>
  <c r="D8" i="7"/>
  <c r="F8" i="7"/>
  <c r="G8" i="7"/>
  <c r="C8" i="7"/>
  <c r="E7" i="7"/>
  <c r="E5" i="7"/>
  <c r="D40" i="8"/>
  <c r="C40" i="8"/>
  <c r="D26" i="8"/>
  <c r="C26" i="8"/>
  <c r="D7" i="8"/>
  <c r="D18" i="8" s="1"/>
  <c r="D28" i="8" s="1"/>
  <c r="D42" i="8" s="1"/>
  <c r="C7" i="8"/>
  <c r="C18" i="8" s="1"/>
  <c r="C28" i="8" s="1"/>
  <c r="C42" i="8" s="1"/>
  <c r="P14" i="9"/>
  <c r="Q14" i="9"/>
  <c r="R14" i="9"/>
  <c r="R13" i="9"/>
  <c r="Q13" i="9"/>
  <c r="P13" i="9"/>
  <c r="P7" i="9"/>
  <c r="Q7" i="9"/>
  <c r="R7" i="9"/>
  <c r="P8" i="9"/>
  <c r="Q8" i="9"/>
  <c r="R8" i="9"/>
  <c r="P9" i="9"/>
  <c r="Q9" i="9"/>
  <c r="R9" i="9"/>
  <c r="R6" i="9"/>
  <c r="Q6" i="9"/>
  <c r="P6" i="9"/>
  <c r="D10" i="9"/>
  <c r="E10" i="9"/>
  <c r="F10" i="9"/>
  <c r="G10" i="9"/>
  <c r="H10" i="9"/>
  <c r="I10" i="9"/>
  <c r="J10" i="9"/>
  <c r="K10" i="9"/>
  <c r="L10" i="9"/>
  <c r="M10" i="9"/>
  <c r="N10" i="9"/>
  <c r="D15" i="9"/>
  <c r="E15" i="9"/>
  <c r="F15" i="9"/>
  <c r="G15" i="9"/>
  <c r="H15" i="9"/>
  <c r="I15" i="9"/>
  <c r="J15" i="9"/>
  <c r="K15" i="9"/>
  <c r="L15" i="9"/>
  <c r="M15" i="9"/>
  <c r="N15" i="9"/>
  <c r="C15" i="9"/>
  <c r="C10" i="9"/>
  <c r="D24" i="10"/>
  <c r="C24" i="10"/>
  <c r="C26" i="10" s="1"/>
  <c r="E29" i="10"/>
  <c r="E14" i="10"/>
  <c r="E15" i="10"/>
  <c r="E16" i="10"/>
  <c r="E17" i="10"/>
  <c r="E18" i="10"/>
  <c r="E19" i="10"/>
  <c r="E20" i="10"/>
  <c r="E21" i="10"/>
  <c r="E22" i="10"/>
  <c r="E23" i="10"/>
  <c r="E13" i="10"/>
  <c r="E7" i="10"/>
  <c r="E8" i="10"/>
  <c r="E9" i="10"/>
  <c r="D10" i="10"/>
  <c r="C10" i="10"/>
  <c r="E6" i="10"/>
  <c r="D3" i="9"/>
  <c r="E3" i="9" s="1"/>
  <c r="F3" i="9" s="1"/>
  <c r="G3" i="9" s="1"/>
  <c r="H3" i="9" s="1"/>
  <c r="I3" i="9" s="1"/>
  <c r="J3" i="9" s="1"/>
  <c r="K3" i="9" s="1"/>
  <c r="L3" i="9" s="1"/>
  <c r="M3" i="9" s="1"/>
  <c r="N3" i="9" s="1"/>
  <c r="E45" i="5"/>
  <c r="D45" i="5"/>
  <c r="D46" i="5" s="1"/>
  <c r="E10" i="5"/>
  <c r="F10" i="5"/>
  <c r="G10" i="5"/>
  <c r="H10" i="5"/>
  <c r="I10" i="5"/>
  <c r="J10" i="5"/>
  <c r="K10" i="5"/>
  <c r="L10" i="5"/>
  <c r="D10" i="5"/>
  <c r="E19" i="5"/>
  <c r="F19" i="5"/>
  <c r="N19" i="5" s="1"/>
  <c r="G19" i="5"/>
  <c r="H19" i="5"/>
  <c r="I19" i="5"/>
  <c r="J19" i="5"/>
  <c r="K19" i="5"/>
  <c r="L19" i="5"/>
  <c r="D19" i="5"/>
  <c r="E29" i="5"/>
  <c r="D29" i="5"/>
  <c r="E36" i="5"/>
  <c r="F36" i="5"/>
  <c r="N36" i="5" s="1"/>
  <c r="G36" i="5"/>
  <c r="H36" i="5"/>
  <c r="I36" i="5"/>
  <c r="J36" i="5"/>
  <c r="K36" i="5"/>
  <c r="L36" i="5"/>
  <c r="D36" i="5"/>
  <c r="E43" i="5"/>
  <c r="F43" i="5"/>
  <c r="N43" i="5" s="1"/>
  <c r="G43" i="5"/>
  <c r="H43" i="5"/>
  <c r="I43" i="5"/>
  <c r="J43" i="5"/>
  <c r="K43" i="5"/>
  <c r="L43" i="5"/>
  <c r="D43" i="5"/>
  <c r="N38" i="5"/>
  <c r="N32" i="5"/>
  <c r="N31" i="5"/>
  <c r="N22" i="5"/>
  <c r="N23" i="5"/>
  <c r="N24" i="5"/>
  <c r="N25" i="5"/>
  <c r="N26" i="5"/>
  <c r="N21" i="5"/>
  <c r="N17" i="5"/>
  <c r="N14" i="5"/>
  <c r="N15" i="5"/>
  <c r="N13" i="5"/>
  <c r="N12" i="5"/>
  <c r="N6" i="5"/>
  <c r="C25" i="11"/>
  <c r="D6" i="11"/>
  <c r="E6" i="11"/>
  <c r="F6" i="11"/>
  <c r="C6" i="11"/>
  <c r="N5" i="5"/>
  <c r="L27" i="5"/>
  <c r="K27" i="5"/>
  <c r="J27" i="5"/>
  <c r="J29" i="5" s="1"/>
  <c r="I27" i="5"/>
  <c r="H27" i="5"/>
  <c r="G27" i="5"/>
  <c r="F27" i="5"/>
  <c r="F22" i="11"/>
  <c r="F24" i="11" s="1"/>
  <c r="F25" i="11" s="1"/>
  <c r="E22" i="11"/>
  <c r="E24" i="11" s="1"/>
  <c r="E25" i="11" s="1"/>
  <c r="D22" i="11"/>
  <c r="D24" i="11" s="1"/>
  <c r="D25" i="11" s="1"/>
  <c r="C22" i="11"/>
  <c r="C24" i="11" s="1"/>
  <c r="L17" i="3"/>
  <c r="K17" i="3"/>
  <c r="J17" i="3"/>
  <c r="I17" i="3"/>
  <c r="H17" i="3"/>
  <c r="G17" i="3"/>
  <c r="F17" i="3"/>
  <c r="E17" i="3"/>
  <c r="D17" i="3"/>
  <c r="C17" i="3"/>
  <c r="D9" i="3"/>
  <c r="D10" i="3" s="1"/>
  <c r="E9" i="3"/>
  <c r="E10" i="3" s="1"/>
  <c r="F9" i="3"/>
  <c r="F13" i="3" s="1"/>
  <c r="F14" i="3" s="1"/>
  <c r="G9" i="3"/>
  <c r="G13" i="3" s="1"/>
  <c r="G14" i="3" s="1"/>
  <c r="H9" i="3"/>
  <c r="H10" i="3" s="1"/>
  <c r="I9" i="3"/>
  <c r="I10" i="3" s="1"/>
  <c r="J9" i="3"/>
  <c r="J10" i="3" s="1"/>
  <c r="K9" i="3"/>
  <c r="K10" i="3" s="1"/>
  <c r="L9" i="3"/>
  <c r="L10" i="3" s="1"/>
  <c r="C9" i="3"/>
  <c r="C13" i="3" s="1"/>
  <c r="C14" i="3" s="1"/>
  <c r="I6" i="3"/>
  <c r="J6" i="3"/>
  <c r="K6" i="3"/>
  <c r="L6" i="3"/>
  <c r="G6" i="3"/>
  <c r="H6" i="3"/>
  <c r="E6" i="3"/>
  <c r="D6" i="3"/>
  <c r="P10" i="5" l="1"/>
  <c r="P5" i="5"/>
  <c r="P21" i="5"/>
  <c r="P12" i="5"/>
  <c r="P40" i="5"/>
  <c r="P35" i="5"/>
  <c r="P22" i="5"/>
  <c r="P26" i="5"/>
  <c r="P13" i="5"/>
  <c r="P17" i="5"/>
  <c r="P6" i="5"/>
  <c r="P31" i="5"/>
  <c r="P39" i="5"/>
  <c r="P34" i="5"/>
  <c r="P25" i="5"/>
  <c r="P16" i="5"/>
  <c r="P9" i="5"/>
  <c r="P42" i="5"/>
  <c r="P33" i="5"/>
  <c r="P24" i="5"/>
  <c r="P28" i="5"/>
  <c r="P15" i="5"/>
  <c r="P8" i="5"/>
  <c r="P38" i="5"/>
  <c r="P46" i="5"/>
  <c r="P41" i="5"/>
  <c r="P32" i="5"/>
  <c r="P23" i="5"/>
  <c r="P27" i="5"/>
  <c r="P14" i="5"/>
  <c r="P18" i="5"/>
  <c r="P7" i="5"/>
  <c r="P29" i="5"/>
  <c r="P19" i="5"/>
  <c r="P36" i="5"/>
  <c r="P43" i="5"/>
  <c r="L29" i="5"/>
  <c r="G45" i="5"/>
  <c r="L45" i="5"/>
  <c r="K45" i="5"/>
  <c r="J45" i="5"/>
  <c r="I45" i="5"/>
  <c r="H45" i="5"/>
  <c r="N10" i="5"/>
  <c r="E10" i="10"/>
  <c r="P45" i="5"/>
  <c r="F45" i="5"/>
  <c r="D26" i="10"/>
  <c r="C29" i="8"/>
  <c r="E45" i="7"/>
  <c r="E28" i="7"/>
  <c r="E30" i="7" s="1"/>
  <c r="E31" i="7" s="1"/>
  <c r="G47" i="7"/>
  <c r="F47" i="7"/>
  <c r="D47" i="7"/>
  <c r="C47" i="7"/>
  <c r="E8" i="7"/>
  <c r="F17" i="9"/>
  <c r="C17" i="9"/>
  <c r="N17" i="9"/>
  <c r="R15" i="9"/>
  <c r="Q15" i="9"/>
  <c r="P15" i="9"/>
  <c r="I17" i="9"/>
  <c r="H17" i="9"/>
  <c r="G17" i="9"/>
  <c r="E17" i="9"/>
  <c r="P10" i="9"/>
  <c r="Q10" i="9"/>
  <c r="R10" i="9"/>
  <c r="M17" i="9"/>
  <c r="K17" i="9"/>
  <c r="L17" i="9"/>
  <c r="D17" i="9"/>
  <c r="J17" i="9"/>
  <c r="E24" i="10"/>
  <c r="E26" i="10" s="1"/>
  <c r="K29" i="5"/>
  <c r="N27" i="5"/>
  <c r="I29" i="5"/>
  <c r="H29" i="5"/>
  <c r="G29" i="5"/>
  <c r="F29" i="5"/>
  <c r="G19" i="3"/>
  <c r="G20" i="3" s="1"/>
  <c r="F19" i="3"/>
  <c r="F20" i="3" s="1"/>
  <c r="C19" i="3"/>
  <c r="C20" i="3" s="1"/>
  <c r="C10" i="3"/>
  <c r="G10" i="3"/>
  <c r="F10" i="3"/>
  <c r="D13" i="3"/>
  <c r="L13" i="3"/>
  <c r="K13" i="3"/>
  <c r="J13" i="3"/>
  <c r="I13" i="3"/>
  <c r="H13" i="3"/>
  <c r="E13" i="3"/>
  <c r="N29" i="5" l="1"/>
  <c r="C56" i="7"/>
  <c r="C57" i="7" s="1"/>
  <c r="C48" i="7"/>
  <c r="D56" i="7"/>
  <c r="D57" i="7" s="1"/>
  <c r="D48" i="7"/>
  <c r="F56" i="7"/>
  <c r="F57" i="7" s="1"/>
  <c r="F48" i="7"/>
  <c r="G56" i="7"/>
  <c r="G57" i="7" s="1"/>
  <c r="G48" i="7"/>
  <c r="E47" i="7"/>
  <c r="Q17" i="9"/>
  <c r="P17" i="9"/>
  <c r="R17" i="9"/>
  <c r="K14" i="3"/>
  <c r="K19" i="3"/>
  <c r="K20" i="3" s="1"/>
  <c r="L14" i="3"/>
  <c r="L19" i="3"/>
  <c r="L20" i="3" s="1"/>
  <c r="D14" i="3"/>
  <c r="D19" i="3"/>
  <c r="D20" i="3" s="1"/>
  <c r="E14" i="3"/>
  <c r="E19" i="3"/>
  <c r="E20" i="3" s="1"/>
  <c r="H14" i="3"/>
  <c r="H19" i="3"/>
  <c r="H20" i="3" s="1"/>
  <c r="I14" i="3"/>
  <c r="I19" i="3"/>
  <c r="I20" i="3" s="1"/>
  <c r="J14" i="3"/>
  <c r="J19" i="3"/>
  <c r="J20" i="3" s="1"/>
  <c r="E56" i="7" l="1"/>
  <c r="E57" i="7" s="1"/>
  <c r="E48" i="7"/>
  <c r="N45" i="5"/>
  <c r="E46" i="5"/>
  <c r="F46" i="5"/>
  <c r="G46" i="5"/>
  <c r="H46" i="5"/>
  <c r="I46" i="5"/>
  <c r="J46" i="5"/>
  <c r="K46" i="5"/>
  <c r="L46" i="5"/>
  <c r="W42" i="5" l="1"/>
  <c r="W38" i="5"/>
  <c r="W33" i="5"/>
  <c r="W24" i="5"/>
  <c r="W28" i="5"/>
  <c r="W15" i="5"/>
  <c r="W19" i="5"/>
  <c r="W8" i="5"/>
  <c r="W5" i="5"/>
  <c r="W46" i="5"/>
  <c r="W41" i="5"/>
  <c r="W32" i="5"/>
  <c r="W23" i="5"/>
  <c r="W21" i="5"/>
  <c r="W14" i="5"/>
  <c r="W18" i="5"/>
  <c r="W12" i="5"/>
  <c r="W7" i="5"/>
  <c r="W40" i="5"/>
  <c r="W35" i="5"/>
  <c r="W31" i="5"/>
  <c r="W22" i="5"/>
  <c r="W26" i="5"/>
  <c r="W13" i="5"/>
  <c r="W17" i="5"/>
  <c r="W6" i="5"/>
  <c r="W39" i="5"/>
  <c r="W34" i="5"/>
  <c r="W25" i="5"/>
  <c r="W16" i="5"/>
  <c r="W9" i="5"/>
  <c r="W27" i="5"/>
  <c r="W36" i="5"/>
  <c r="W10" i="5"/>
  <c r="W43" i="5"/>
  <c r="W45" i="5"/>
  <c r="W29" i="5"/>
  <c r="V42" i="5"/>
  <c r="V33" i="5"/>
  <c r="V24" i="5"/>
  <c r="V28" i="5"/>
  <c r="V15" i="5"/>
  <c r="V8" i="5"/>
  <c r="V38" i="5"/>
  <c r="V5" i="5"/>
  <c r="V46" i="5"/>
  <c r="V41" i="5"/>
  <c r="V32" i="5"/>
  <c r="V23" i="5"/>
  <c r="V14" i="5"/>
  <c r="V18" i="5"/>
  <c r="V7" i="5"/>
  <c r="V21" i="5"/>
  <c r="V12" i="5"/>
  <c r="V40" i="5"/>
  <c r="V35" i="5"/>
  <c r="V22" i="5"/>
  <c r="V26" i="5"/>
  <c r="V13" i="5"/>
  <c r="V17" i="5"/>
  <c r="V6" i="5"/>
  <c r="V31" i="5"/>
  <c r="V39" i="5"/>
  <c r="V34" i="5"/>
  <c r="V25" i="5"/>
  <c r="V16" i="5"/>
  <c r="V9" i="5"/>
  <c r="V19" i="5"/>
  <c r="V43" i="5"/>
  <c r="V29" i="5"/>
  <c r="V27" i="5"/>
  <c r="V10" i="5"/>
  <c r="V36" i="5"/>
  <c r="V45" i="5"/>
  <c r="U42" i="5"/>
  <c r="U33" i="5"/>
  <c r="U24" i="5"/>
  <c r="U28" i="5"/>
  <c r="U15" i="5"/>
  <c r="U8" i="5"/>
  <c r="U5" i="5"/>
  <c r="U46" i="5"/>
  <c r="U41" i="5"/>
  <c r="U32" i="5"/>
  <c r="U23" i="5"/>
  <c r="U14" i="5"/>
  <c r="U18" i="5"/>
  <c r="U7" i="5"/>
  <c r="U38" i="5"/>
  <c r="U40" i="5"/>
  <c r="U35" i="5"/>
  <c r="U22" i="5"/>
  <c r="U26" i="5"/>
  <c r="U13" i="5"/>
  <c r="U17" i="5"/>
  <c r="U6" i="5"/>
  <c r="U10" i="5"/>
  <c r="U21" i="5"/>
  <c r="U12" i="5"/>
  <c r="U39" i="5"/>
  <c r="U34" i="5"/>
  <c r="U25" i="5"/>
  <c r="U16" i="5"/>
  <c r="U9" i="5"/>
  <c r="U31" i="5"/>
  <c r="U27" i="5"/>
  <c r="U43" i="5"/>
  <c r="U36" i="5"/>
  <c r="U19" i="5"/>
  <c r="U29" i="5"/>
  <c r="U45" i="5"/>
  <c r="T5" i="5"/>
  <c r="T46" i="5"/>
  <c r="T41" i="5"/>
  <c r="T32" i="5"/>
  <c r="T23" i="5"/>
  <c r="T14" i="5"/>
  <c r="T18" i="5"/>
  <c r="T7" i="5"/>
  <c r="T40" i="5"/>
  <c r="T38" i="5"/>
  <c r="T35" i="5"/>
  <c r="T22" i="5"/>
  <c r="T26" i="5"/>
  <c r="T13" i="5"/>
  <c r="T17" i="5"/>
  <c r="T6" i="5"/>
  <c r="T10" i="5"/>
  <c r="T39" i="5"/>
  <c r="T34" i="5"/>
  <c r="T25" i="5"/>
  <c r="T21" i="5"/>
  <c r="T16" i="5"/>
  <c r="T12" i="5"/>
  <c r="T9" i="5"/>
  <c r="T42" i="5"/>
  <c r="T33" i="5"/>
  <c r="T31" i="5"/>
  <c r="T24" i="5"/>
  <c r="T28" i="5"/>
  <c r="T15" i="5"/>
  <c r="T8" i="5"/>
  <c r="T19" i="5"/>
  <c r="T36" i="5"/>
  <c r="T43" i="5"/>
  <c r="T27" i="5"/>
  <c r="T29" i="5"/>
  <c r="T45" i="5"/>
  <c r="S31" i="5"/>
  <c r="S5" i="5"/>
  <c r="S46" i="5"/>
  <c r="S41" i="5"/>
  <c r="S32" i="5"/>
  <c r="S23" i="5"/>
  <c r="S14" i="5"/>
  <c r="S18" i="5"/>
  <c r="S7" i="5"/>
  <c r="S40" i="5"/>
  <c r="S35" i="5"/>
  <c r="S22" i="5"/>
  <c r="S26" i="5"/>
  <c r="S13" i="5"/>
  <c r="S17" i="5"/>
  <c r="S6" i="5"/>
  <c r="S38" i="5"/>
  <c r="S39" i="5"/>
  <c r="S34" i="5"/>
  <c r="S25" i="5"/>
  <c r="S16" i="5"/>
  <c r="S9" i="5"/>
  <c r="S21" i="5"/>
  <c r="S12" i="5"/>
  <c r="S42" i="5"/>
  <c r="S33" i="5"/>
  <c r="S24" i="5"/>
  <c r="S28" i="5"/>
  <c r="S15" i="5"/>
  <c r="S8" i="5"/>
  <c r="S43" i="5"/>
  <c r="S36" i="5"/>
  <c r="S10" i="5"/>
  <c r="S27" i="5"/>
  <c r="S19" i="5"/>
  <c r="S45" i="5"/>
  <c r="S29" i="5"/>
  <c r="N46" i="5"/>
  <c r="X39" i="5"/>
  <c r="X34" i="5"/>
  <c r="X25" i="5"/>
  <c r="X16" i="5"/>
  <c r="X9" i="5"/>
  <c r="X38" i="5"/>
  <c r="X42" i="5"/>
  <c r="X33" i="5"/>
  <c r="X24" i="5"/>
  <c r="X28" i="5"/>
  <c r="X15" i="5"/>
  <c r="X8" i="5"/>
  <c r="X21" i="5"/>
  <c r="X12" i="5"/>
  <c r="X5" i="5"/>
  <c r="X46" i="5"/>
  <c r="X41" i="5"/>
  <c r="X32" i="5"/>
  <c r="X36" i="5"/>
  <c r="X23" i="5"/>
  <c r="X14" i="5"/>
  <c r="X18" i="5"/>
  <c r="X7" i="5"/>
  <c r="X31" i="5"/>
  <c r="X40" i="5"/>
  <c r="X35" i="5"/>
  <c r="X22" i="5"/>
  <c r="X26" i="5"/>
  <c r="X13" i="5"/>
  <c r="X17" i="5"/>
  <c r="X6" i="5"/>
  <c r="X10" i="5"/>
  <c r="X19" i="5"/>
  <c r="X27" i="5"/>
  <c r="X43" i="5"/>
  <c r="X29" i="5"/>
  <c r="X45" i="5"/>
  <c r="R46" i="5"/>
  <c r="R41" i="5"/>
  <c r="R32" i="5"/>
  <c r="R23" i="5"/>
  <c r="R14" i="5"/>
  <c r="R18" i="5"/>
  <c r="R7" i="5"/>
  <c r="R31" i="5"/>
  <c r="R40" i="5"/>
  <c r="R35" i="5"/>
  <c r="R22" i="5"/>
  <c r="R26" i="5"/>
  <c r="R13" i="5"/>
  <c r="R17" i="5"/>
  <c r="R6" i="5"/>
  <c r="R39" i="5"/>
  <c r="R43" i="5"/>
  <c r="R34" i="5"/>
  <c r="R25" i="5"/>
  <c r="R16" i="5"/>
  <c r="R9" i="5"/>
  <c r="R38" i="5"/>
  <c r="R42" i="5"/>
  <c r="R33" i="5"/>
  <c r="R24" i="5"/>
  <c r="R28" i="5"/>
  <c r="R15" i="5"/>
  <c r="R19" i="5"/>
  <c r="R8" i="5"/>
  <c r="R21" i="5"/>
  <c r="R12" i="5"/>
  <c r="R5" i="5"/>
  <c r="R27" i="5"/>
  <c r="R10" i="5"/>
  <c r="R36" i="5"/>
  <c r="R45" i="5"/>
  <c r="R29" i="5"/>
  <c r="Q40" i="5"/>
  <c r="Q35" i="5"/>
  <c r="Q31" i="5"/>
  <c r="Q22" i="5"/>
  <c r="Q26" i="5"/>
  <c r="Q13" i="5"/>
  <c r="Q17" i="5"/>
  <c r="Q6" i="5"/>
  <c r="Q39" i="5"/>
  <c r="Q34" i="5"/>
  <c r="Q25" i="5"/>
  <c r="Q16" i="5"/>
  <c r="Q9" i="5"/>
  <c r="Q42" i="5"/>
  <c r="Q38" i="5"/>
  <c r="Q33" i="5"/>
  <c r="Q24" i="5"/>
  <c r="Q28" i="5"/>
  <c r="Q15" i="5"/>
  <c r="Q19" i="5"/>
  <c r="Q8" i="5"/>
  <c r="Q5" i="5"/>
  <c r="Q46" i="5"/>
  <c r="Q41" i="5"/>
  <c r="Q32" i="5"/>
  <c r="Q23" i="5"/>
  <c r="Q27" i="5"/>
  <c r="Q21" i="5"/>
  <c r="Q14" i="5"/>
  <c r="Q18" i="5"/>
  <c r="Q12" i="5"/>
  <c r="Q7" i="5"/>
  <c r="Q36" i="5"/>
  <c r="Q29" i="5"/>
  <c r="Q43" i="5"/>
  <c r="Q10" i="5"/>
  <c r="Q45" i="5"/>
  <c r="G101" i="1"/>
  <c r="G181" i="1"/>
  <c r="G151" i="1" s="1"/>
  <c r="G161" i="1"/>
  <c r="G178" i="1"/>
  <c r="G148" i="1" s="1"/>
  <c r="G180" i="1"/>
  <c r="G150" i="1" s="1"/>
  <c r="G102" i="1" l="1"/>
  <c r="G66" i="1" s="1"/>
  <c r="H69" i="1" s="1"/>
  <c r="I69" i="1" s="1"/>
  <c r="J69" i="1" s="1"/>
  <c r="K69" i="1" s="1"/>
  <c r="L69" i="1" s="1"/>
  <c r="M69" i="1" s="1"/>
  <c r="N69" i="1" s="1"/>
  <c r="G104" i="1"/>
  <c r="G179" i="1"/>
  <c r="G149" i="1" s="1"/>
  <c r="G152" i="1" s="1"/>
  <c r="G185" i="1"/>
  <c r="G182" i="1" l="1"/>
  <c r="G160" i="1"/>
  <c r="G162" i="1" s="1"/>
  <c r="G187" i="1"/>
  <c r="G105" i="1"/>
  <c r="G107" i="1"/>
  <c r="G189" i="1" l="1"/>
  <c r="G192" i="1" s="1"/>
  <c r="G193" i="1" s="1"/>
  <c r="G22" i="1"/>
  <c r="G54" i="1" s="1"/>
  <c r="G108" i="1"/>
  <c r="G283" i="1"/>
  <c r="G285" i="1" s="1"/>
  <c r="E44" i="1" l="1"/>
  <c r="G218" i="1" s="1"/>
  <c r="H218" i="1" s="1"/>
  <c r="G190" i="1"/>
  <c r="E35" i="1"/>
  <c r="G213" i="1" s="1"/>
  <c r="G163" i="1" s="1"/>
  <c r="E38" i="1"/>
  <c r="G244" i="1" s="1"/>
  <c r="H244" i="1" s="1"/>
  <c r="I244" i="1" s="1"/>
  <c r="J244" i="1" s="1"/>
  <c r="K244" i="1" s="1"/>
  <c r="L244" i="1" s="1"/>
  <c r="M244" i="1" s="1"/>
  <c r="N244" i="1" s="1"/>
  <c r="E40" i="1"/>
  <c r="E37" i="1"/>
  <c r="E36" i="1"/>
  <c r="G24" i="1"/>
  <c r="I218" i="1" l="1"/>
  <c r="G224" i="1"/>
  <c r="G226" i="1"/>
  <c r="G232" i="1"/>
  <c r="G234" i="1"/>
  <c r="H234" i="1" s="1"/>
  <c r="I234" i="1" s="1"/>
  <c r="J234" i="1" s="1"/>
  <c r="K234" i="1" s="1"/>
  <c r="L234" i="1" s="1"/>
  <c r="M234" i="1" s="1"/>
  <c r="N234" i="1" s="1"/>
  <c r="G241" i="1"/>
  <c r="G214" i="1"/>
  <c r="H211" i="1"/>
  <c r="L50" i="1"/>
  <c r="E50" i="1" s="1"/>
  <c r="E48" i="1"/>
  <c r="L51" i="1" l="1"/>
  <c r="K51" i="1" s="1"/>
  <c r="J218" i="1"/>
  <c r="H226" i="1"/>
  <c r="G164" i="1"/>
  <c r="H221" i="1"/>
  <c r="H223" i="1" s="1"/>
  <c r="H229" i="1"/>
  <c r="G165" i="1"/>
  <c r="H237" i="1"/>
  <c r="H243" i="1"/>
  <c r="H254" i="1" s="1"/>
  <c r="H126" i="1" s="1"/>
  <c r="G166" i="1"/>
  <c r="G249" i="1"/>
  <c r="G272" i="1" s="1"/>
  <c r="E47" i="1"/>
  <c r="H231" i="1" l="1"/>
  <c r="H232" i="1" s="1"/>
  <c r="I229" i="1" s="1"/>
  <c r="I231" i="1" s="1"/>
  <c r="G286" i="1"/>
  <c r="G288" i="1" s="1"/>
  <c r="I226" i="1"/>
  <c r="I257" i="1" s="1"/>
  <c r="I110" i="1" s="1"/>
  <c r="K218" i="1"/>
  <c r="H257" i="1"/>
  <c r="H110" i="1" s="1"/>
  <c r="H224" i="1"/>
  <c r="H225" i="1" s="1"/>
  <c r="H247" i="1"/>
  <c r="H240" i="1"/>
  <c r="I125" i="1" l="1"/>
  <c r="H125" i="1"/>
  <c r="G290" i="1"/>
  <c r="G260" i="1"/>
  <c r="G265" i="1" s="1"/>
  <c r="H239" i="1"/>
  <c r="H242" i="1" s="1"/>
  <c r="H165" i="1"/>
  <c r="H233" i="1"/>
  <c r="I232" i="1"/>
  <c r="I165" i="1" s="1"/>
  <c r="L218" i="1"/>
  <c r="J226" i="1"/>
  <c r="J257" i="1" s="1"/>
  <c r="J110" i="1" s="1"/>
  <c r="H164" i="1"/>
  <c r="I221" i="1"/>
  <c r="I223" i="1" s="1"/>
  <c r="J125" i="1" l="1"/>
  <c r="I233" i="1"/>
  <c r="H251" i="1"/>
  <c r="H135" i="1" s="1"/>
  <c r="H241" i="1"/>
  <c r="J229" i="1"/>
  <c r="J231" i="1" s="1"/>
  <c r="M218" i="1"/>
  <c r="K226" i="1"/>
  <c r="K257" i="1" s="1"/>
  <c r="K110" i="1" s="1"/>
  <c r="K125" i="1" l="1"/>
  <c r="I237" i="1"/>
  <c r="H166" i="1"/>
  <c r="I243" i="1"/>
  <c r="N218" i="1"/>
  <c r="I224" i="1"/>
  <c r="J232" i="1"/>
  <c r="L226" i="1"/>
  <c r="I254" i="1" l="1"/>
  <c r="I126" i="1" s="1"/>
  <c r="I240" i="1"/>
  <c r="I239" i="1" s="1"/>
  <c r="I251" i="1" s="1"/>
  <c r="I135" i="1" s="1"/>
  <c r="L257" i="1"/>
  <c r="L110" i="1" s="1"/>
  <c r="M226" i="1"/>
  <c r="J221" i="1"/>
  <c r="J223" i="1" s="1"/>
  <c r="I225" i="1"/>
  <c r="I164" i="1"/>
  <c r="J165" i="1"/>
  <c r="K229" i="1"/>
  <c r="K231" i="1" s="1"/>
  <c r="J233" i="1"/>
  <c r="I242" i="1" l="1"/>
  <c r="L125" i="1"/>
  <c r="I241" i="1"/>
  <c r="N226" i="1"/>
  <c r="N257" i="1" s="1"/>
  <c r="N110" i="1" s="1"/>
  <c r="M257" i="1"/>
  <c r="M110" i="1" s="1"/>
  <c r="K232" i="1"/>
  <c r="E51" i="1"/>
  <c r="G155" i="1" s="1"/>
  <c r="L52" i="1"/>
  <c r="M125" i="1" l="1"/>
  <c r="N125" i="1"/>
  <c r="I166" i="1"/>
  <c r="J237" i="1"/>
  <c r="J243" i="1"/>
  <c r="J224" i="1"/>
  <c r="K165" i="1"/>
  <c r="L229" i="1"/>
  <c r="L231" i="1" s="1"/>
  <c r="K233" i="1"/>
  <c r="E52" i="1"/>
  <c r="J254" i="1" l="1"/>
  <c r="J126" i="1" s="1"/>
  <c r="J240" i="1"/>
  <c r="J239" i="1" s="1"/>
  <c r="J241" i="1" s="1"/>
  <c r="J225" i="1"/>
  <c r="K221" i="1"/>
  <c r="K223" i="1" s="1"/>
  <c r="J164" i="1"/>
  <c r="L232" i="1"/>
  <c r="L233" i="1" s="1"/>
  <c r="F52" i="1"/>
  <c r="H155" i="1"/>
  <c r="F47" i="1"/>
  <c r="E42" i="1"/>
  <c r="F51" i="1"/>
  <c r="F50" i="1"/>
  <c r="F48" i="1"/>
  <c r="F49" i="1"/>
  <c r="J242" i="1" l="1"/>
  <c r="F37" i="1"/>
  <c r="K243" i="1"/>
  <c r="K237" i="1"/>
  <c r="J166" i="1"/>
  <c r="J251" i="1"/>
  <c r="J135" i="1" s="1"/>
  <c r="L165" i="1"/>
  <c r="M229" i="1"/>
  <c r="M231" i="1" s="1"/>
  <c r="I155" i="1"/>
  <c r="J155" i="1" s="1"/>
  <c r="K155" i="1" s="1"/>
  <c r="L155" i="1" s="1"/>
  <c r="M155" i="1" s="1"/>
  <c r="N155" i="1" s="1"/>
  <c r="F35" i="1"/>
  <c r="F36" i="1"/>
  <c r="F42" i="1"/>
  <c r="E41" i="1"/>
  <c r="F40" i="1"/>
  <c r="F38" i="1"/>
  <c r="K254" i="1" l="1"/>
  <c r="K126" i="1" s="1"/>
  <c r="K240" i="1"/>
  <c r="K239" i="1" s="1"/>
  <c r="K242" i="1" s="1"/>
  <c r="K224" i="1"/>
  <c r="M232" i="1"/>
  <c r="M233" i="1" s="1"/>
  <c r="G167" i="1"/>
  <c r="F41" i="1"/>
  <c r="K251" i="1" l="1"/>
  <c r="K135" i="1" s="1"/>
  <c r="K241" i="1"/>
  <c r="K164" i="1"/>
  <c r="L221" i="1"/>
  <c r="L223" i="1" s="1"/>
  <c r="K225" i="1"/>
  <c r="N229" i="1"/>
  <c r="N231" i="1" s="1"/>
  <c r="M165" i="1"/>
  <c r="G168" i="1"/>
  <c r="G154" i="1" s="1"/>
  <c r="L243" i="1" l="1"/>
  <c r="L237" i="1"/>
  <c r="K166" i="1"/>
  <c r="N232" i="1"/>
  <c r="N233" i="1" s="1"/>
  <c r="G156" i="1"/>
  <c r="G170" i="1" s="1"/>
  <c r="H154" i="1"/>
  <c r="L254" i="1" l="1"/>
  <c r="L126" i="1" s="1"/>
  <c r="L240" i="1"/>
  <c r="L239" i="1" s="1"/>
  <c r="L242" i="1" s="1"/>
  <c r="L224" i="1"/>
  <c r="N165" i="1"/>
  <c r="G171" i="1"/>
  <c r="I154" i="1"/>
  <c r="L251" i="1" l="1"/>
  <c r="L135" i="1" s="1"/>
  <c r="L241" i="1"/>
  <c r="L164" i="1"/>
  <c r="M221" i="1"/>
  <c r="M223" i="1" s="1"/>
  <c r="L225" i="1"/>
  <c r="J154" i="1"/>
  <c r="L166" i="1" l="1"/>
  <c r="M243" i="1"/>
  <c r="M237" i="1"/>
  <c r="M224" i="1"/>
  <c r="K154" i="1"/>
  <c r="M254" i="1" l="1"/>
  <c r="M126" i="1" s="1"/>
  <c r="M240" i="1"/>
  <c r="M164" i="1"/>
  <c r="N221" i="1"/>
  <c r="N223" i="1" s="1"/>
  <c r="M225" i="1"/>
  <c r="L154" i="1"/>
  <c r="M154" i="1" s="1"/>
  <c r="N154" i="1" s="1"/>
  <c r="M239" i="1" l="1"/>
  <c r="M242" i="1" s="1"/>
  <c r="M251" i="1" l="1"/>
  <c r="M135" i="1" s="1"/>
  <c r="M241" i="1"/>
  <c r="N224" i="1"/>
  <c r="N237" i="1" l="1"/>
  <c r="N243" i="1"/>
  <c r="M166" i="1"/>
  <c r="N164" i="1"/>
  <c r="N225" i="1"/>
  <c r="N254" i="1" l="1"/>
  <c r="N126" i="1" s="1"/>
  <c r="N240" i="1"/>
  <c r="N239" i="1"/>
  <c r="N241" i="1" s="1"/>
  <c r="N242" i="1" l="1"/>
  <c r="N166" i="1"/>
  <c r="N251" i="1"/>
  <c r="N135" i="1" s="1"/>
  <c r="H290" i="1" l="1"/>
  <c r="H291" i="1"/>
  <c r="H292" i="1"/>
  <c r="M290" i="1"/>
  <c r="M291" i="1"/>
  <c r="M292" i="1"/>
  <c r="N290" i="1" l="1"/>
  <c r="N291" i="1"/>
  <c r="N292" i="1"/>
  <c r="K290" i="1"/>
  <c r="K291" i="1"/>
  <c r="K292" i="1"/>
  <c r="J290" i="1"/>
  <c r="J291" i="1"/>
  <c r="J292" i="1"/>
  <c r="I290" i="1"/>
  <c r="I291" i="1"/>
  <c r="I292" i="1"/>
  <c r="H60" i="1"/>
  <c r="H99" i="1" s="1"/>
  <c r="H98" i="1" s="1"/>
  <c r="I60" i="1"/>
  <c r="I99" i="1" s="1"/>
  <c r="J60" i="1"/>
  <c r="J99" i="1" s="1"/>
  <c r="K60" i="1"/>
  <c r="K99" i="1" s="1"/>
  <c r="L60" i="1"/>
  <c r="L99" i="1" s="1"/>
  <c r="M60" i="1"/>
  <c r="M99" i="1" s="1"/>
  <c r="N60" i="1"/>
  <c r="N99" i="1" s="1"/>
  <c r="H66" i="1"/>
  <c r="I66" i="1"/>
  <c r="J66" i="1"/>
  <c r="K66" i="1"/>
  <c r="L66" i="1"/>
  <c r="M66" i="1"/>
  <c r="N66" i="1"/>
  <c r="H72" i="1"/>
  <c r="I72" i="1"/>
  <c r="J72" i="1"/>
  <c r="K72" i="1"/>
  <c r="L72" i="1"/>
  <c r="M72" i="1"/>
  <c r="N72" i="1"/>
  <c r="H78" i="1"/>
  <c r="I78" i="1"/>
  <c r="J78" i="1"/>
  <c r="K78" i="1"/>
  <c r="L78" i="1"/>
  <c r="M78" i="1"/>
  <c r="N78" i="1"/>
  <c r="H84" i="1"/>
  <c r="I84" i="1"/>
  <c r="J84" i="1"/>
  <c r="K84" i="1"/>
  <c r="L84" i="1"/>
  <c r="M84" i="1"/>
  <c r="N84" i="1"/>
  <c r="H90" i="1"/>
  <c r="H118" i="1" s="1"/>
  <c r="I90" i="1"/>
  <c r="I118" i="1" s="1"/>
  <c r="J90" i="1"/>
  <c r="J118" i="1" s="1"/>
  <c r="K90" i="1"/>
  <c r="K118" i="1" s="1"/>
  <c r="L90" i="1"/>
  <c r="L118" i="1" s="1"/>
  <c r="M90" i="1"/>
  <c r="M118" i="1" s="1"/>
  <c r="N90" i="1"/>
  <c r="N118" i="1" s="1"/>
  <c r="H103" i="1" l="1"/>
  <c r="H181" i="1"/>
  <c r="H151" i="1" s="1"/>
  <c r="H180" i="1"/>
  <c r="H150" i="1" s="1"/>
  <c r="H106" i="1"/>
  <c r="H100" i="1"/>
  <c r="H178" i="1"/>
  <c r="H109" i="1"/>
  <c r="H186" i="1"/>
  <c r="H161" i="1" s="1"/>
  <c r="H117" i="1"/>
  <c r="H128" i="1" s="1"/>
  <c r="H263" i="1" s="1"/>
  <c r="I98" i="1"/>
  <c r="H153" i="1" l="1"/>
  <c r="H124" i="1"/>
  <c r="H179" i="1"/>
  <c r="H149" i="1" s="1"/>
  <c r="H185" i="1"/>
  <c r="H148" i="1"/>
  <c r="H101" i="1"/>
  <c r="J98" i="1"/>
  <c r="I100" i="1"/>
  <c r="I101" i="1" s="1"/>
  <c r="I103" i="1"/>
  <c r="I106" i="1"/>
  <c r="I109" i="1"/>
  <c r="I117" i="1"/>
  <c r="I128" i="1" s="1"/>
  <c r="I263" i="1" s="1"/>
  <c r="I178" i="1"/>
  <c r="I180" i="1"/>
  <c r="I150" i="1" s="1"/>
  <c r="I181" i="1"/>
  <c r="I151" i="1" s="1"/>
  <c r="I186" i="1"/>
  <c r="I161" i="1" s="1"/>
  <c r="H104" i="1" l="1"/>
  <c r="H102" i="1"/>
  <c r="H160" i="1"/>
  <c r="H162" i="1" s="1"/>
  <c r="H187" i="1"/>
  <c r="H182" i="1"/>
  <c r="I148" i="1"/>
  <c r="I124" i="1"/>
  <c r="I153" i="1"/>
  <c r="I102" i="1"/>
  <c r="I104" i="1"/>
  <c r="I179" i="1"/>
  <c r="I185" i="1"/>
  <c r="K98" i="1"/>
  <c r="J100" i="1"/>
  <c r="J101" i="1" s="1"/>
  <c r="J103" i="1"/>
  <c r="J106" i="1"/>
  <c r="J109" i="1"/>
  <c r="J124" i="1" s="1"/>
  <c r="J117" i="1"/>
  <c r="J128" i="1" s="1"/>
  <c r="J263" i="1" s="1"/>
  <c r="J178" i="1"/>
  <c r="J180" i="1"/>
  <c r="J150" i="1" s="1"/>
  <c r="J181" i="1"/>
  <c r="J151" i="1" s="1"/>
  <c r="J186" i="1"/>
  <c r="J161" i="1" s="1"/>
  <c r="H189" i="1" l="1"/>
  <c r="H190" i="1" s="1"/>
  <c r="H105" i="1"/>
  <c r="H107" i="1"/>
  <c r="J148" i="1"/>
  <c r="J102" i="1"/>
  <c r="J104" i="1"/>
  <c r="J179" i="1"/>
  <c r="J185" i="1"/>
  <c r="L98" i="1"/>
  <c r="K100" i="1"/>
  <c r="K101" i="1" s="1"/>
  <c r="K103" i="1"/>
  <c r="K106" i="1"/>
  <c r="K109" i="1"/>
  <c r="K124" i="1" s="1"/>
  <c r="K117" i="1"/>
  <c r="K128" i="1" s="1"/>
  <c r="K263" i="1" s="1"/>
  <c r="K178" i="1"/>
  <c r="K180" i="1"/>
  <c r="K150" i="1" s="1"/>
  <c r="K181" i="1"/>
  <c r="K151" i="1" s="1"/>
  <c r="K186" i="1"/>
  <c r="K161" i="1" s="1"/>
  <c r="I160" i="1"/>
  <c r="I162" i="1" s="1"/>
  <c r="I187" i="1"/>
  <c r="I149" i="1"/>
  <c r="I182" i="1"/>
  <c r="I105" i="1"/>
  <c r="I107" i="1"/>
  <c r="J153" i="1"/>
  <c r="H192" i="1" l="1"/>
  <c r="H127" i="1" s="1"/>
  <c r="H264" i="1" s="1"/>
  <c r="I189" i="1"/>
  <c r="I190" i="1" s="1"/>
  <c r="K153" i="1"/>
  <c r="H283" i="1"/>
  <c r="H285" i="1" s="1"/>
  <c r="H108" i="1"/>
  <c r="H261" i="1"/>
  <c r="H111" i="1"/>
  <c r="I108" i="1"/>
  <c r="I111" i="1"/>
  <c r="I261" i="1"/>
  <c r="I283" i="1"/>
  <c r="I285" i="1" s="1"/>
  <c r="K148" i="1"/>
  <c r="K102" i="1"/>
  <c r="K104" i="1"/>
  <c r="K179" i="1"/>
  <c r="K185" i="1"/>
  <c r="M98" i="1"/>
  <c r="L100" i="1"/>
  <c r="L101" i="1" s="1"/>
  <c r="L103" i="1"/>
  <c r="L106" i="1"/>
  <c r="L109" i="1"/>
  <c r="L117" i="1"/>
  <c r="L128" i="1" s="1"/>
  <c r="L263" i="1" s="1"/>
  <c r="L178" i="1"/>
  <c r="L180" i="1"/>
  <c r="L150" i="1" s="1"/>
  <c r="L181" i="1"/>
  <c r="L151" i="1" s="1"/>
  <c r="L186" i="1"/>
  <c r="L161" i="1" s="1"/>
  <c r="J160" i="1"/>
  <c r="J162" i="1" s="1"/>
  <c r="J187" i="1"/>
  <c r="J149" i="1"/>
  <c r="J182" i="1"/>
  <c r="J105" i="1"/>
  <c r="J107" i="1"/>
  <c r="H193" i="1" l="1"/>
  <c r="I192" i="1"/>
  <c r="I193" i="1" s="1"/>
  <c r="J189" i="1"/>
  <c r="J192" i="1" s="1"/>
  <c r="J108" i="1"/>
  <c r="J111" i="1"/>
  <c r="J261" i="1"/>
  <c r="J283" i="1"/>
  <c r="J285" i="1" s="1"/>
  <c r="L148" i="1"/>
  <c r="L124" i="1"/>
  <c r="L153" i="1"/>
  <c r="L102" i="1"/>
  <c r="L104" i="1"/>
  <c r="L179" i="1"/>
  <c r="L185" i="1"/>
  <c r="N98" i="1"/>
  <c r="M100" i="1"/>
  <c r="M101" i="1" s="1"/>
  <c r="M103" i="1"/>
  <c r="M106" i="1"/>
  <c r="M109" i="1"/>
  <c r="M124" i="1" s="1"/>
  <c r="M117" i="1"/>
  <c r="M128" i="1" s="1"/>
  <c r="M263" i="1" s="1"/>
  <c r="M178" i="1"/>
  <c r="M180" i="1"/>
  <c r="M150" i="1" s="1"/>
  <c r="M181" i="1"/>
  <c r="M151" i="1" s="1"/>
  <c r="M186" i="1"/>
  <c r="M161" i="1" s="1"/>
  <c r="K160" i="1"/>
  <c r="K162" i="1" s="1"/>
  <c r="K187" i="1"/>
  <c r="K149" i="1"/>
  <c r="K182" i="1"/>
  <c r="K105" i="1"/>
  <c r="K107" i="1"/>
  <c r="I262" i="1"/>
  <c r="I127" i="1" l="1"/>
  <c r="I264" i="1" s="1"/>
  <c r="I265" i="1" s="1"/>
  <c r="J190" i="1"/>
  <c r="K189" i="1"/>
  <c r="K190" i="1" s="1"/>
  <c r="K108" i="1"/>
  <c r="K111" i="1"/>
  <c r="K261" i="1"/>
  <c r="K283" i="1"/>
  <c r="K285" i="1" s="1"/>
  <c r="M148" i="1"/>
  <c r="M102" i="1"/>
  <c r="M104" i="1"/>
  <c r="M179" i="1"/>
  <c r="M185" i="1"/>
  <c r="N100" i="1"/>
  <c r="N101" i="1" s="1"/>
  <c r="N103" i="1"/>
  <c r="N106" i="1"/>
  <c r="N109" i="1"/>
  <c r="N124" i="1" s="1"/>
  <c r="N117" i="1"/>
  <c r="N128" i="1" s="1"/>
  <c r="N263" i="1" s="1"/>
  <c r="N178" i="1"/>
  <c r="N180" i="1"/>
  <c r="N150" i="1" s="1"/>
  <c r="N181" i="1"/>
  <c r="N151" i="1" s="1"/>
  <c r="N186" i="1"/>
  <c r="N161" i="1" s="1"/>
  <c r="L160" i="1"/>
  <c r="L162" i="1" s="1"/>
  <c r="L187" i="1"/>
  <c r="L149" i="1"/>
  <c r="L182" i="1"/>
  <c r="L105" i="1"/>
  <c r="L107" i="1"/>
  <c r="M153" i="1"/>
  <c r="J127" i="1"/>
  <c r="J264" i="1" s="1"/>
  <c r="J193" i="1"/>
  <c r="J262" i="1"/>
  <c r="J265" i="1" l="1"/>
  <c r="K192" i="1"/>
  <c r="K127" i="1" s="1"/>
  <c r="K264" i="1" s="1"/>
  <c r="N153" i="1"/>
  <c r="L189" i="1"/>
  <c r="L192" i="1" s="1"/>
  <c r="L22" i="1"/>
  <c r="L24" i="1" s="1"/>
  <c r="L108" i="1"/>
  <c r="L111" i="1"/>
  <c r="L261" i="1"/>
  <c r="L283" i="1"/>
  <c r="L285" i="1" s="1"/>
  <c r="N148" i="1"/>
  <c r="N102" i="1"/>
  <c r="N104" i="1"/>
  <c r="N179" i="1"/>
  <c r="N185" i="1"/>
  <c r="M160" i="1"/>
  <c r="M162" i="1" s="1"/>
  <c r="M187" i="1"/>
  <c r="M149" i="1"/>
  <c r="M182" i="1"/>
  <c r="M105" i="1"/>
  <c r="M107" i="1"/>
  <c r="K262" i="1"/>
  <c r="K265" i="1" l="1"/>
  <c r="K193" i="1"/>
  <c r="L190" i="1"/>
  <c r="M189" i="1"/>
  <c r="M192" i="1" s="1"/>
  <c r="M108" i="1"/>
  <c r="M111" i="1"/>
  <c r="M261" i="1"/>
  <c r="M283" i="1"/>
  <c r="M285" i="1" s="1"/>
  <c r="N160" i="1"/>
  <c r="N162" i="1" s="1"/>
  <c r="N187" i="1"/>
  <c r="N149" i="1"/>
  <c r="N182" i="1"/>
  <c r="N105" i="1"/>
  <c r="N107" i="1"/>
  <c r="L127" i="1"/>
  <c r="L264" i="1" s="1"/>
  <c r="L193" i="1"/>
  <c r="L262" i="1"/>
  <c r="L265" i="1" l="1"/>
  <c r="M190" i="1"/>
  <c r="N189" i="1"/>
  <c r="N190" i="1" s="1"/>
  <c r="N108" i="1"/>
  <c r="N111" i="1"/>
  <c r="N261" i="1"/>
  <c r="N283" i="1"/>
  <c r="N285" i="1" s="1"/>
  <c r="M127" i="1"/>
  <c r="M264" i="1" s="1"/>
  <c r="M193" i="1"/>
  <c r="M262" i="1"/>
  <c r="M265" i="1" l="1"/>
  <c r="N192" i="1"/>
  <c r="N127" i="1" s="1"/>
  <c r="N264" i="1" s="1"/>
  <c r="N262" i="1"/>
  <c r="N266" i="1"/>
  <c r="N193" i="1" l="1"/>
  <c r="N265" i="1"/>
  <c r="L25" i="1"/>
  <c r="L26" i="1"/>
  <c r="L27" i="1"/>
  <c r="G29" i="1"/>
  <c r="L29" i="1"/>
  <c r="G30" i="1"/>
  <c r="L30" i="1"/>
  <c r="H112" i="1"/>
  <c r="I112" i="1"/>
  <c r="J112" i="1"/>
  <c r="K112" i="1"/>
  <c r="L112" i="1"/>
  <c r="M112" i="1"/>
  <c r="N112" i="1"/>
  <c r="H113" i="1"/>
  <c r="I113" i="1"/>
  <c r="J113" i="1"/>
  <c r="K113" i="1"/>
  <c r="L113" i="1"/>
  <c r="M113" i="1"/>
  <c r="N113" i="1"/>
  <c r="H114" i="1"/>
  <c r="I114" i="1"/>
  <c r="J114" i="1"/>
  <c r="K114" i="1"/>
  <c r="L114" i="1"/>
  <c r="M114" i="1"/>
  <c r="N114" i="1"/>
  <c r="H115" i="1"/>
  <c r="I115" i="1"/>
  <c r="J115" i="1"/>
  <c r="K115" i="1"/>
  <c r="L115" i="1"/>
  <c r="M115" i="1"/>
  <c r="N115" i="1"/>
  <c r="H123" i="1"/>
  <c r="I123" i="1"/>
  <c r="J123" i="1"/>
  <c r="K123" i="1"/>
  <c r="L123" i="1"/>
  <c r="M123" i="1"/>
  <c r="N123" i="1"/>
  <c r="H129" i="1"/>
  <c r="I129" i="1"/>
  <c r="J129" i="1"/>
  <c r="K129" i="1"/>
  <c r="L129" i="1"/>
  <c r="M129" i="1"/>
  <c r="N129" i="1"/>
  <c r="I131" i="1"/>
  <c r="J131" i="1"/>
  <c r="K131" i="1"/>
  <c r="L131" i="1"/>
  <c r="M131" i="1"/>
  <c r="N131" i="1"/>
  <c r="H133" i="1"/>
  <c r="I133" i="1"/>
  <c r="J133" i="1"/>
  <c r="K133" i="1"/>
  <c r="L133" i="1"/>
  <c r="M133" i="1"/>
  <c r="N133" i="1"/>
  <c r="H134" i="1"/>
  <c r="I134" i="1"/>
  <c r="J134" i="1"/>
  <c r="K134" i="1"/>
  <c r="L134" i="1"/>
  <c r="M134" i="1"/>
  <c r="N134" i="1"/>
  <c r="H136" i="1"/>
  <c r="I136" i="1"/>
  <c r="J136" i="1"/>
  <c r="K136" i="1"/>
  <c r="L136" i="1"/>
  <c r="M136" i="1"/>
  <c r="N136" i="1"/>
  <c r="H137" i="1"/>
  <c r="I137" i="1"/>
  <c r="J137" i="1"/>
  <c r="K137" i="1"/>
  <c r="L137" i="1"/>
  <c r="M137" i="1"/>
  <c r="N137" i="1"/>
  <c r="H139" i="1"/>
  <c r="I139" i="1"/>
  <c r="J139" i="1"/>
  <c r="K139" i="1"/>
  <c r="L139" i="1"/>
  <c r="M139" i="1"/>
  <c r="N139" i="1"/>
  <c r="H147" i="1"/>
  <c r="I147" i="1"/>
  <c r="J147" i="1"/>
  <c r="K147" i="1"/>
  <c r="L147" i="1"/>
  <c r="M147" i="1"/>
  <c r="N147" i="1"/>
  <c r="H152" i="1"/>
  <c r="I152" i="1"/>
  <c r="J152" i="1"/>
  <c r="K152" i="1"/>
  <c r="L152" i="1"/>
  <c r="M152" i="1"/>
  <c r="N152" i="1"/>
  <c r="H156" i="1"/>
  <c r="I156" i="1"/>
  <c r="J156" i="1"/>
  <c r="K156" i="1"/>
  <c r="L156" i="1"/>
  <c r="M156" i="1"/>
  <c r="N156" i="1"/>
  <c r="H163" i="1"/>
  <c r="I163" i="1"/>
  <c r="J163" i="1"/>
  <c r="K163" i="1"/>
  <c r="L163" i="1"/>
  <c r="M163" i="1"/>
  <c r="N163" i="1"/>
  <c r="H167" i="1"/>
  <c r="I167" i="1"/>
  <c r="J167" i="1"/>
  <c r="K167" i="1"/>
  <c r="L167" i="1"/>
  <c r="M167" i="1"/>
  <c r="N167" i="1"/>
  <c r="H168" i="1"/>
  <c r="I168" i="1"/>
  <c r="J168" i="1"/>
  <c r="K168" i="1"/>
  <c r="L168" i="1"/>
  <c r="M168" i="1"/>
  <c r="N168" i="1"/>
  <c r="H170" i="1"/>
  <c r="I170" i="1"/>
  <c r="J170" i="1"/>
  <c r="K170" i="1"/>
  <c r="L170" i="1"/>
  <c r="M170" i="1"/>
  <c r="N170" i="1"/>
  <c r="H171" i="1"/>
  <c r="I171" i="1"/>
  <c r="J171" i="1"/>
  <c r="K171" i="1"/>
  <c r="L171" i="1"/>
  <c r="M171" i="1"/>
  <c r="N171" i="1"/>
  <c r="H172" i="1"/>
  <c r="I172" i="1"/>
  <c r="J172" i="1"/>
  <c r="K172" i="1"/>
  <c r="L172" i="1"/>
  <c r="M172" i="1"/>
  <c r="N172" i="1"/>
  <c r="I211" i="1"/>
  <c r="J211" i="1"/>
  <c r="K211" i="1"/>
  <c r="L211" i="1"/>
  <c r="M211" i="1"/>
  <c r="N211" i="1"/>
  <c r="H212" i="1"/>
  <c r="I212" i="1"/>
  <c r="J212" i="1"/>
  <c r="K212" i="1"/>
  <c r="L212" i="1"/>
  <c r="M212" i="1"/>
  <c r="N212" i="1"/>
  <c r="H213" i="1"/>
  <c r="I213" i="1"/>
  <c r="J213" i="1"/>
  <c r="K213" i="1"/>
  <c r="L213" i="1"/>
  <c r="M213" i="1"/>
  <c r="N213" i="1"/>
  <c r="H214" i="1"/>
  <c r="I214" i="1"/>
  <c r="J214" i="1"/>
  <c r="K214" i="1"/>
  <c r="L214" i="1"/>
  <c r="M214" i="1"/>
  <c r="N214" i="1"/>
  <c r="H215" i="1"/>
  <c r="I215" i="1"/>
  <c r="J215" i="1"/>
  <c r="K215" i="1"/>
  <c r="L215" i="1"/>
  <c r="M215" i="1"/>
  <c r="N215" i="1"/>
  <c r="H216" i="1"/>
  <c r="I216" i="1"/>
  <c r="J216" i="1"/>
  <c r="K216" i="1"/>
  <c r="L216" i="1"/>
  <c r="M216" i="1"/>
  <c r="N216" i="1"/>
  <c r="H217" i="1"/>
  <c r="I217" i="1"/>
  <c r="J217" i="1"/>
  <c r="K217" i="1"/>
  <c r="L217" i="1"/>
  <c r="M217" i="1"/>
  <c r="N217" i="1"/>
  <c r="I247" i="1"/>
  <c r="J247" i="1"/>
  <c r="K247" i="1"/>
  <c r="L247" i="1"/>
  <c r="M247" i="1"/>
  <c r="N247" i="1"/>
  <c r="H248" i="1"/>
  <c r="I248" i="1"/>
  <c r="J248" i="1"/>
  <c r="K248" i="1"/>
  <c r="L248" i="1"/>
  <c r="M248" i="1"/>
  <c r="N248" i="1"/>
  <c r="H249" i="1"/>
  <c r="I249" i="1"/>
  <c r="J249" i="1"/>
  <c r="K249" i="1"/>
  <c r="L249" i="1"/>
  <c r="M249" i="1"/>
  <c r="N249" i="1"/>
  <c r="H253" i="1"/>
  <c r="I253" i="1"/>
  <c r="J253" i="1"/>
  <c r="K253" i="1"/>
  <c r="L253" i="1"/>
  <c r="M253" i="1"/>
  <c r="N253" i="1"/>
  <c r="H255" i="1"/>
  <c r="I255" i="1"/>
  <c r="J255" i="1"/>
  <c r="K255" i="1"/>
  <c r="L255" i="1"/>
  <c r="M255" i="1"/>
  <c r="N255" i="1"/>
  <c r="H262" i="1"/>
  <c r="H265" i="1"/>
  <c r="G269" i="1"/>
  <c r="H274" i="1"/>
  <c r="I274" i="1"/>
  <c r="J274" i="1"/>
  <c r="K274" i="1"/>
  <c r="L274" i="1"/>
  <c r="M274" i="1"/>
  <c r="N274" i="1"/>
  <c r="G275" i="1"/>
  <c r="G277" i="1"/>
  <c r="H286" i="1"/>
  <c r="I286" i="1"/>
  <c r="J286" i="1"/>
  <c r="K286" i="1"/>
  <c r="L286" i="1"/>
  <c r="M286" i="1"/>
  <c r="N286" i="1"/>
  <c r="H287" i="1"/>
  <c r="I287" i="1"/>
  <c r="J287" i="1"/>
  <c r="K287" i="1"/>
  <c r="L287" i="1"/>
  <c r="M287" i="1"/>
  <c r="N287" i="1"/>
  <c r="H288" i="1"/>
  <c r="I288" i="1"/>
  <c r="J288" i="1"/>
  <c r="K288" i="1"/>
  <c r="L288" i="1"/>
  <c r="M288" i="1"/>
  <c r="N288" i="1"/>
  <c r="L290" i="1"/>
  <c r="L291" i="1"/>
  <c r="L2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tc={B11E308B-D5BB-40BE-B886-E55FF80B714E}</author>
    <author>tc={740430FA-5EE3-43E7-820F-2C15E0A6CB89}</author>
    <author>tc={04C79414-E2E2-48C2-AC3A-5A69DD858746}</author>
    <author>tc={7FC9EA4F-94D1-46B0-934F-B272E9D7168C}</author>
    <author>tc={FE31AD28-7250-4D08-9D68-835B5DC2D6DC}</author>
    <author>tc={B34013BD-9411-47EE-849F-0DBF9796B883}</author>
    <author>tc={C16582AE-EF5B-499E-9B48-E394A48A6DFC}</author>
    <author>tc={725D9853-D79B-44AC-9DA8-2118B5F5B612}</author>
    <author>tc={BC90271B-3270-48E8-8865-3FB20AB37E8E}</author>
    <author>Andrew J McCaffery</author>
    <author>tc={40E9E96D-F59D-42EC-BD26-7D398B4FF897}</author>
    <author>tc={BF1B4E40-A080-4823-B350-086482629DE1}</author>
    <author>tc={80E45722-178F-490F-BE53-C5F16842EA67}</author>
    <author>tc={F68C32AB-81BD-49C4-BA34-54596C5A31D5}</author>
    <author>tc={9C4D8C04-AD27-4C7B-9274-CBBDC6B2FC75}</author>
    <author>tc={C7033E8A-8B58-4B70-9FDE-A454172FABA9}</author>
    <author>tc={C6B4CE78-FC40-47B4-96AB-AFE2EC6E29CA}</author>
  </authors>
  <commentList>
    <comment ref="I18" authorId="0" shapeId="0" xr:uid="{B11E308B-D5BB-40BE-B886-E55FF80B71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longer you hold, the more IRR goes down.
Reply:
    Sponsor (general partner) cares about MOIC because some carry is tied to that 
LPs care about hold dollar profit and not just high dollar return for exiting fast 
</t>
      </text>
    </comment>
    <comment ref="G34" authorId="1" shapeId="0" xr:uid="{740430FA-5EE3-43E7-820F-2C15E0A6CB89}">
      <text>
        <t>[Threaded comment]
Your version of Excel allows you to read this threaded comment; however, any edits to it will get removed if the file is opened in a newer version of Excel. Learn more: https://go.microsoft.com/fwlink/?linkid=870924
Comment:
    Picked these numbers based on ppt from Monday class slides and working backwards from percent to calculate multiple</t>
      </text>
    </comment>
    <comment ref="J34" authorId="2" shapeId="0" xr:uid="{04C79414-E2E2-48C2-AC3A-5A69DD85874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class slides from Monday
</t>
      </text>
    </comment>
    <comment ref="D35" authorId="3" shapeId="0" xr:uid="{7FC9EA4F-94D1-46B0-934F-B272E9D716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Revolver - credit card for company shold be set to 0 in sources and uses because if you buy company and negative cash flow, business would be able to pull on revolver to fund 
Rolver not for funding the deal </t>
      </text>
    </comment>
    <comment ref="D36" authorId="4" shapeId="0" xr:uid="{FE31AD28-7250-4D08-9D68-835B5DC2D6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Term loan = senior debt </t>
      </text>
    </comment>
    <comment ref="D37" authorId="5" shapeId="0" xr:uid="{B34013BD-9411-47EE-849F-0DBF9796B8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 debt = subortinated debt
</t>
      </text>
    </comment>
    <comment ref="D38" authorId="6" shapeId="0" xr:uid="{C16582AE-EF5B-499E-9B48-E394A48A6DF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Sell note = 2M of 10M is seller note, giving business owner 8M and pay 2M over course of the time - helps align PE firm and the seller to have high sell note 
</t>
      </text>
    </comment>
    <comment ref="D40" authorId="7" shapeId="0" xr:uid="{725D9853-D79B-44AC-9DA8-2118B5F5B61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Owners own common stock so rolling over equity into new transaction where you and management would own part of the equity - would be further aligning firm with seller bc seller remains to have skin in the game (5-10%) solve for this (5% of ebita equals what multiple </t>
      </text>
    </comment>
    <comment ref="D41" authorId="8" shapeId="0" xr:uid="{BC90271B-3270-48E8-8865-3FB20AB37E8E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equity?</t>
      </text>
    </comment>
    <comment ref="E44" authorId="9" shapeId="0" xr:uid="{00000000-0006-0000-0000-000001000000}">
      <text>
        <r>
          <rPr>
            <sz val="9"/>
            <color indexed="81"/>
            <rFont val="Tahoma"/>
            <family val="2"/>
          </rPr>
          <t>This is the "maximum size" of the revolver facility. Think about how much flexibility the business might need to fund growth, serve working capital needs, etc.</t>
        </r>
      </text>
    </comment>
    <comment ref="C61" authorId="10" shapeId="0" xr:uid="{40E9E96D-F59D-42EC-BD26-7D398B4FF8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 case have exit multiple equal to entry multiple because don’t want to only rely on multiple expansion to fuel returns - if do acquisitions and it grows should see expansion
Reply:
    Page 15 of mgmt deck 14.9% Revenue CAGR
</t>
      </text>
    </comment>
    <comment ref="C67" authorId="11" shapeId="0" xr:uid="{BF1B4E40-A080-4823-B350-086482629D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Pg 74 mgmt projections
</t>
      </text>
    </comment>
    <comment ref="C73" authorId="12" shapeId="0" xr:uid="{80E45722-178F-490F-BE53-C5F16842EA67}">
      <text>
        <t>[Threaded comment]
Your version of Excel allows you to read this threaded comment; however, any edits to it will get removed if the file is opened in a newer version of Excel. Learn more: https://go.microsoft.com/fwlink/?linkid=870924
Comment:
    Pg 74 mgmt projections</t>
      </text>
    </comment>
    <comment ref="C79" authorId="13" shapeId="0" xr:uid="{F68C32AB-81BD-49C4-BA34-54596C5A31D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Pg 74 mgmt projections
</t>
      </text>
    </comment>
    <comment ref="C91" authorId="14" shapeId="0" xr:uid="{9C4D8C04-AD27-4C7B-9274-CBBDC6B2FC7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Pg 75 of mgmt deck
</t>
      </text>
    </comment>
    <comment ref="C153" authorId="15" shapeId="0" xr:uid="{C7033E8A-8B58-4B70-9FDE-A454172FABA9}">
      <text>
        <t>[Threaded comment]
Your version of Excel allows you to read this threaded comment; however, any edits to it will get removed if the file is opened in a newer version of Excel. Learn more: https://go.microsoft.com/fwlink/?linkid=870924
Comment:
    PP&amp;E - CAPX wants you to take a look at the management presentation anything about new projects or new products - will go up if (page 75 in management presentation) projected growth and maintance capx</t>
      </text>
    </comment>
    <comment ref="G153" authorId="9" shapeId="0" xr:uid="{00000000-0006-0000-0000-000002000000}">
      <text>
        <r>
          <rPr>
            <sz val="9"/>
            <color indexed="81"/>
            <rFont val="Tahoma"/>
            <family val="2"/>
          </rPr>
          <t>Fixed assets balance as of 7/31/2018 based on RSM Due Diligence Report P9.</t>
        </r>
      </text>
    </comment>
    <comment ref="C195" authorId="16" shapeId="0" xr:uid="{C6B4CE78-FC40-47B4-96AB-AFE2EC6E29CA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51 of mgmt deck</t>
      </text>
    </comment>
  </commentList>
</comments>
</file>

<file path=xl/sharedStrings.xml><?xml version="1.0" encoding="utf-8"?>
<sst xmlns="http://schemas.openxmlformats.org/spreadsheetml/2006/main" count="700" uniqueCount="434">
  <si>
    <t>INSTRUCTIONS:</t>
  </si>
  <si>
    <t>- Update model using:</t>
  </si>
  <si>
    <t>CELLS WITH BLUE TEXT / FILL</t>
  </si>
  <si>
    <t>ROWS WHICH CONTAIN THESE CELLS ARE HIGHLIGHTED IN ORANGE IN COLUMN A</t>
  </si>
  <si>
    <r>
      <t>(</t>
    </r>
    <r>
      <rPr>
        <b/>
        <i/>
        <sz val="11"/>
        <color theme="1"/>
        <rFont val="Calibri"/>
        <family val="2"/>
        <scheme val="minor"/>
      </rPr>
      <t>HINT</t>
    </r>
    <r>
      <rPr>
        <i/>
        <sz val="11"/>
        <color theme="1"/>
        <rFont val="Calibri"/>
        <family val="2"/>
        <scheme val="minor"/>
      </rPr>
      <t>: before you start working on the model, scroll down to find all of the BLUE TEXT / FILL cells)</t>
    </r>
  </si>
  <si>
    <r>
      <rPr>
        <sz val="11"/>
        <rFont val="Calibri"/>
        <family val="2"/>
        <scheme val="minor"/>
      </rPr>
      <t xml:space="preserve">- Keep track of any formula changes you make using TEXT color conventions: </t>
    </r>
    <r>
      <rPr>
        <b/>
        <sz val="11"/>
        <color rgb="FF0070C0"/>
        <rFont val="Calibri"/>
        <family val="2"/>
        <scheme val="minor"/>
      </rPr>
      <t>BLUE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= INPUT, </t>
    </r>
    <r>
      <rPr>
        <b/>
        <sz val="11"/>
        <color theme="1"/>
        <rFont val="Calibri"/>
        <family val="2"/>
        <scheme val="minor"/>
      </rPr>
      <t xml:space="preserve">BLACK </t>
    </r>
    <r>
      <rPr>
        <sz val="11"/>
        <color theme="1"/>
        <rFont val="Calibri"/>
        <family val="2"/>
        <scheme val="minor"/>
      </rPr>
      <t xml:space="preserve">= SAME TAB CALC, </t>
    </r>
    <r>
      <rPr>
        <b/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= OTHER TAB CALC,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= SPECIAL ATTENTION</t>
    </r>
  </si>
  <si>
    <r>
      <rPr>
        <sz val="11"/>
        <color theme="1"/>
        <rFont val="Calibri"/>
        <family val="2"/>
        <scheme val="minor"/>
      </rPr>
      <t xml:space="preserve">- Be mindful of model circularity; see </t>
    </r>
    <r>
      <rPr>
        <b/>
        <sz val="11"/>
        <color theme="1"/>
        <rFont val="Calibri"/>
        <family val="2"/>
        <scheme val="minor"/>
      </rPr>
      <t>CELL E225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CELLS H229:L229</t>
    </r>
    <r>
      <rPr>
        <sz val="11"/>
        <color theme="1"/>
        <rFont val="Calibri"/>
        <family val="2"/>
        <scheme val="minor"/>
      </rPr>
      <t xml:space="preserve">; </t>
    </r>
  </si>
  <si>
    <r>
      <t xml:space="preserve">Toggle </t>
    </r>
    <r>
      <rPr>
        <b/>
        <sz val="11"/>
        <color theme="1"/>
        <rFont val="Calibri"/>
        <family val="2"/>
        <scheme val="minor"/>
      </rPr>
      <t>CELL E225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off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scheme val="minor"/>
      </rPr>
      <t xml:space="preserve">and back </t>
    </r>
    <r>
      <rPr>
        <i/>
        <sz val="11"/>
        <color theme="1"/>
        <rFont val="Calibri"/>
        <family val="2"/>
        <scheme val="minor"/>
      </rPr>
      <t>on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if error presents</t>
    </r>
  </si>
  <si>
    <r>
      <t xml:space="preserve">- GOAL: </t>
    </r>
    <r>
      <rPr>
        <sz val="11"/>
        <color theme="1"/>
        <rFont val="Calibri"/>
        <family val="2"/>
        <scheme val="minor"/>
      </rPr>
      <t xml:space="preserve">present reasonable, substantiated </t>
    </r>
    <r>
      <rPr>
        <b/>
        <sz val="11"/>
        <color theme="1"/>
        <rFont val="Calibri"/>
        <family val="2"/>
        <scheme val="minor"/>
      </rPr>
      <t>Base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Upside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 xml:space="preserve">Downside </t>
    </r>
    <r>
      <rPr>
        <sz val="11"/>
        <color theme="1"/>
        <rFont val="Calibri"/>
        <family val="2"/>
        <scheme val="minor"/>
      </rPr>
      <t>cases for the LBO</t>
    </r>
  </si>
  <si>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>Transaction Inputs / Outcomes</t>
    </r>
    <r>
      <rPr>
        <sz val="11"/>
        <color theme="1"/>
        <rFont val="Calibri"/>
        <family val="2"/>
        <scheme val="minor"/>
      </rPr>
      <t xml:space="preserve"> set to 0; fill-in from case details</t>
    </r>
  </si>
  <si>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>Sources &amp; Uses</t>
    </r>
    <r>
      <rPr>
        <sz val="11"/>
        <color theme="1"/>
        <rFont val="Calibri"/>
        <family val="2"/>
        <scheme val="minor"/>
      </rPr>
      <t xml:space="preserve"> set to 0; fill-in from case details</t>
    </r>
  </si>
  <si>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Income Statement Case Builder </t>
    </r>
    <r>
      <rPr>
        <sz val="11"/>
        <color theme="1"/>
        <rFont val="Calibri"/>
        <family val="2"/>
        <scheme val="minor"/>
      </rPr>
      <t>set to year before transaction or 0% as dummy</t>
    </r>
  </si>
  <si>
    <r>
      <rPr>
        <sz val="11"/>
        <color theme="1"/>
        <rFont val="Calibri"/>
        <family val="2"/>
        <scheme val="minor"/>
      </rPr>
      <t xml:space="preserve">- Also see </t>
    </r>
    <r>
      <rPr>
        <b/>
        <sz val="11"/>
        <color theme="1"/>
        <rFont val="Calibri"/>
        <family val="2"/>
        <scheme val="minor"/>
      </rPr>
      <t>Balance Sheet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Net Working Capital</t>
    </r>
    <r>
      <rPr>
        <sz val="11"/>
        <color theme="1"/>
        <rFont val="Calibri"/>
        <family val="2"/>
        <scheme val="minor"/>
      </rPr>
      <t>, other assumptions below…</t>
    </r>
  </si>
  <si>
    <r>
      <t xml:space="preserve">- TIP: </t>
    </r>
    <r>
      <rPr>
        <sz val="11"/>
        <color theme="1"/>
        <rFont val="Calibri"/>
        <family val="2"/>
        <scheme val="minor"/>
      </rPr>
      <t>hit F9 multiple times to make sure model is recalculating after changes; make sure automatic calculations enabled in settings (ALT + F + T)</t>
    </r>
  </si>
  <si>
    <r>
      <t xml:space="preserve">ChoiceSpine LBO Model - VCPE(B) Fall 2021 </t>
    </r>
    <r>
      <rPr>
        <b/>
        <i/>
        <sz val="11"/>
        <color theme="0"/>
        <rFont val="Calibri"/>
        <family val="2"/>
        <scheme val="minor"/>
      </rPr>
      <t>(Prof. Phillips)</t>
    </r>
  </si>
  <si>
    <t>x</t>
  </si>
  <si>
    <t>Transaction Inputs / Outcomes</t>
  </si>
  <si>
    <t>Notes</t>
  </si>
  <si>
    <t>Years Held</t>
  </si>
  <si>
    <t>Years Held can range from 1-7; think about how this impacts IRR/MOIC</t>
  </si>
  <si>
    <t>Entry Year</t>
  </si>
  <si>
    <t>2018B</t>
  </si>
  <si>
    <t>Exit Year</t>
  </si>
  <si>
    <t>Bid EBITDA</t>
  </si>
  <si>
    <t>Sale EBITDA</t>
  </si>
  <si>
    <t>Entry Multiple</t>
  </si>
  <si>
    <t>Exit Multiple</t>
  </si>
  <si>
    <t>Consider arguments for holding vs. varying entry/exit multiples</t>
  </si>
  <si>
    <t>Enterprise Value</t>
  </si>
  <si>
    <t>Comparables and precendent transactions help here.</t>
  </si>
  <si>
    <t>Less: Total Debt</t>
  </si>
  <si>
    <t xml:space="preserve">Also see below for illustrative APV firm value calculations as an additional valuation </t>
  </si>
  <si>
    <t>Plus: Cash and Equiv.</t>
  </si>
  <si>
    <t>of the firm in addition to multiples.</t>
  </si>
  <si>
    <t>Equity Value</t>
  </si>
  <si>
    <t>Balance Sheet Check</t>
  </si>
  <si>
    <t>If Balance Sheet Check = CHECK, financial statements not balancing</t>
  </si>
  <si>
    <t>Revolver Check</t>
  </si>
  <si>
    <t>If Revolver Check = CHECK, revolver availability becomes negative</t>
  </si>
  <si>
    <t>Sources &amp; Uses</t>
  </si>
  <si>
    <t>Sources</t>
  </si>
  <si>
    <t>$</t>
  </si>
  <si>
    <t>% Cap.</t>
  </si>
  <si>
    <t>xEBITDA</t>
  </si>
  <si>
    <t>% Interest</t>
  </si>
  <si>
    <t>Term</t>
  </si>
  <si>
    <t>Amort. %</t>
  </si>
  <si>
    <t>% Fees</t>
  </si>
  <si>
    <t>Revolver</t>
  </si>
  <si>
    <t>L+</t>
  </si>
  <si>
    <t xml:space="preserve">NA </t>
  </si>
  <si>
    <t>Fee on revolver reflects size of facility, not amount drawn at close</t>
  </si>
  <si>
    <t>Term Loan</t>
  </si>
  <si>
    <t>Consider typical interest rates and amortization schedules</t>
  </si>
  <si>
    <t>Sub. Debt</t>
  </si>
  <si>
    <t>Sell. Note</t>
  </si>
  <si>
    <t>Interest on seller financing can be cash or paid-in-kind (PIK). No fee on seller financing.</t>
  </si>
  <si>
    <t>PIK</t>
  </si>
  <si>
    <t>Rollover</t>
  </si>
  <si>
    <t>LIBOR Start</t>
  </si>
  <si>
    <t>LIBOR Step</t>
  </si>
  <si>
    <t>Sponsor</t>
  </si>
  <si>
    <t>LIBOR used given case timing; however, note SOFR's recent replacement of LIBOR</t>
  </si>
  <si>
    <t>Tot. Srcs.</t>
  </si>
  <si>
    <t xml:space="preserve">LIBOR start and step FROM 2018 website </t>
  </si>
  <si>
    <t>Rev. Cap.</t>
  </si>
  <si>
    <t>Uses</t>
  </si>
  <si>
    <t>$ Fees</t>
  </si>
  <si>
    <t>EV</t>
  </si>
  <si>
    <t>Min. Cash</t>
  </si>
  <si>
    <t>Should the business have any cash-on-hand at close? PUT IN $2M based off of nothing</t>
  </si>
  <si>
    <t>M&amp;A Fees</t>
  </si>
  <si>
    <t>How much will your investment bankers charge to do the deal?</t>
  </si>
  <si>
    <t>Fin. Fees</t>
  </si>
  <si>
    <t>Total Uses</t>
  </si>
  <si>
    <t>2018B Adj. EBITDA</t>
  </si>
  <si>
    <t>Income Statement Case Builder</t>
  </si>
  <si>
    <t>Budget</t>
  </si>
  <si>
    <t>Projected</t>
  </si>
  <si>
    <t>($ in 000s)</t>
  </si>
  <si>
    <t>2018</t>
  </si>
  <si>
    <t>2019</t>
  </si>
  <si>
    <t>2020</t>
  </si>
  <si>
    <t>2021</t>
  </si>
  <si>
    <t>2022</t>
  </si>
  <si>
    <t>2023</t>
  </si>
  <si>
    <t>2024</t>
  </si>
  <si>
    <t>2025</t>
  </si>
  <si>
    <t>Revenue Growth</t>
  </si>
  <si>
    <t>Case</t>
  </si>
  <si>
    <t>Active</t>
  </si>
  <si>
    <t>Base</t>
  </si>
  <si>
    <t>Base = close to management projections</t>
  </si>
  <si>
    <t>Upside</t>
  </si>
  <si>
    <t>Upside = optimistic "what if" case (i.e., if things go very well)</t>
  </si>
  <si>
    <t>Downside</t>
  </si>
  <si>
    <t>Downside = pessimistic "what if" case (i.e., if things go wrong)</t>
  </si>
  <si>
    <t>Cost of Goods % of Sales</t>
  </si>
  <si>
    <t>CHANGED BASED ON MGMT DECK PROJECTIONS; leveled off at 2022 rate</t>
  </si>
  <si>
    <t>CHANGED IN CASE OF EFFICIENCIES W SUPPLIERS (actual avg was 13.3%)</t>
  </si>
  <si>
    <t>CHANGED IN CASE OF COMMODITY INPUT PRICING CHANGES; used CAGR from 4 years 2015-2018</t>
  </si>
  <si>
    <t>Commissions % of Sales</t>
  </si>
  <si>
    <t>CHANGED BASED ON MGMT DECK PROJECTIONS; leveled off at 2023 rate</t>
  </si>
  <si>
    <t>CHANGED ASSUMING EFFICIENCIES/MORE STRATEGIC COMMISSION STRUCTURE</t>
  </si>
  <si>
    <t>CHANGED ASSUMING CAGR RATE OF GROWTH (could be bc as more products are introduced, more complex selling process, etc.)</t>
  </si>
  <si>
    <t>Operating Expenses % of Sales</t>
  </si>
  <si>
    <t>CHANGED ASSUMING EFFICIENCIES (USED CAGR RATE)</t>
  </si>
  <si>
    <t>CHANGED TO AVG OF 2015-2018</t>
  </si>
  <si>
    <t>Depreciation Expense % of Sales</t>
  </si>
  <si>
    <t>Capital Expenditures % of Sales</t>
  </si>
  <si>
    <t>CHANGED BASED ON MANAGEMENT DECK PROJECTIONS; held at 2022 % going forward</t>
  </si>
  <si>
    <t>CONTINUED TO DECLINE AS THEY BECOME MORE EFFICIENT???</t>
  </si>
  <si>
    <t>CHANGED TO AVERAGE % FROM 2015-2018</t>
  </si>
  <si>
    <t>Summary Income Statement</t>
  </si>
  <si>
    <t>Actual</t>
  </si>
  <si>
    <t>2015</t>
  </si>
  <si>
    <t>2016</t>
  </si>
  <si>
    <t>2017</t>
  </si>
  <si>
    <t>Sales</t>
  </si>
  <si>
    <t>% Growth</t>
  </si>
  <si>
    <t>Cost of Goods Sold</t>
  </si>
  <si>
    <t>Gross Profit</t>
  </si>
  <si>
    <t>Gross Margin</t>
  </si>
  <si>
    <t>Commissions</t>
  </si>
  <si>
    <t>Contribution Profit</t>
  </si>
  <si>
    <t>Contribution Margin</t>
  </si>
  <si>
    <t>Operating Expenses</t>
  </si>
  <si>
    <t>Adj. EBITDA</t>
  </si>
  <si>
    <t>Adj. EBITDA Margin</t>
  </si>
  <si>
    <t>Depreciation Expense</t>
  </si>
  <si>
    <t>Amortization Expense</t>
  </si>
  <si>
    <t>EBIT</t>
  </si>
  <si>
    <t>Interest Expense</t>
  </si>
  <si>
    <t>EBT</t>
  </si>
  <si>
    <t>Tax Rate</t>
  </si>
  <si>
    <t>Income Tax</t>
  </si>
  <si>
    <t>U.S. + TN tax rates rounded up given diligence uncertainties; check these numbers; CHANGED TN RATE TO 7% AND LEFT US RATE AT 21% - changed rounding formula</t>
  </si>
  <si>
    <t>Net Income</t>
  </si>
  <si>
    <t>Capital Expenditures</t>
  </si>
  <si>
    <t>CAPEX not on the IS, but included here for ease of modeling vs. depreciation expense</t>
  </si>
  <si>
    <t>CAPEX % of Sales</t>
  </si>
  <si>
    <t>Summary Cash Flow Statement</t>
  </si>
  <si>
    <t>This reflects the amortization of capitalized financing fees</t>
  </si>
  <si>
    <t>Non-Cash Interest Expense</t>
  </si>
  <si>
    <t>Change in Net Working Capital</t>
  </si>
  <si>
    <t>Levered Free Cash Flow</t>
  </si>
  <si>
    <t>Beginning Cash Balance</t>
  </si>
  <si>
    <t>Less: Minimum Cash Balance</t>
  </si>
  <si>
    <t>Plus: Levered Free Cash Flow</t>
  </si>
  <si>
    <t>Cash Available for Debt Paydown</t>
  </si>
  <si>
    <t>Less: Mandatory Debt Paydown</t>
  </si>
  <si>
    <t>Less: Revolver Activity</t>
  </si>
  <si>
    <t>Change in Cash</t>
  </si>
  <si>
    <t>Ending Cash Balance</t>
  </si>
  <si>
    <t>Summary Balance Sheet</t>
  </si>
  <si>
    <t>Assets</t>
  </si>
  <si>
    <t>Current Assets</t>
  </si>
  <si>
    <t>Cash and Cash Equivalents</t>
  </si>
  <si>
    <t>Accounts Receivable</t>
  </si>
  <si>
    <t>Inventory</t>
  </si>
  <si>
    <t>Accrued Revenue</t>
  </si>
  <si>
    <t>Prepaid Expenses</t>
  </si>
  <si>
    <t>Total Current Assets</t>
  </si>
  <si>
    <t>PP&amp;E</t>
  </si>
  <si>
    <t>right now they lease space that is owned by co-founders; potential to buy property??</t>
  </si>
  <si>
    <t>Goodwill</t>
  </si>
  <si>
    <t>Financing Fees</t>
  </si>
  <si>
    <t>Total Assets</t>
  </si>
  <si>
    <t>Liabilities and Shareholders' Equity</t>
  </si>
  <si>
    <t>Current Liabilities</t>
  </si>
  <si>
    <t>Accounts Payable</t>
  </si>
  <si>
    <t>Accrued Expenses</t>
  </si>
  <si>
    <t>Total Current Liabilities</t>
  </si>
  <si>
    <t>Subordinated Debt</t>
  </si>
  <si>
    <t>Seller Financing</t>
  </si>
  <si>
    <t>Shareholders' Equity</t>
  </si>
  <si>
    <t>Total Liabilities and Shareholders' Equity</t>
  </si>
  <si>
    <t>CHECK</t>
  </si>
  <si>
    <t>CHECK 1/2</t>
  </si>
  <si>
    <t>CHECK Chg.</t>
  </si>
  <si>
    <t>Net Working Capital Build</t>
  </si>
  <si>
    <t>Net Working Capital</t>
  </si>
  <si>
    <t>Net Working Capital % of Sales</t>
  </si>
  <si>
    <t>Change in Net Working Capital % of Sales</t>
  </si>
  <si>
    <t>Days Sales Outstanding (DSO / AR Days)</t>
  </si>
  <si>
    <t>Consider working capital profile of business when setting these and the below inputs</t>
  </si>
  <si>
    <t>Days Inventory Outstanding (DIO / INV Days)</t>
  </si>
  <si>
    <t>Days Payable Outstanding (DPO / AP Days)</t>
  </si>
  <si>
    <t>Cash Conversion Cycle (CCC)</t>
  </si>
  <si>
    <t>Accrued Revenue % of Sales</t>
  </si>
  <si>
    <t>Prepaid Expenses % of Sales</t>
  </si>
  <si>
    <t>Accrued Expenses % of Sales</t>
  </si>
  <si>
    <t>Debt Build</t>
  </si>
  <si>
    <t>Year</t>
  </si>
  <si>
    <t>LIBOR Build</t>
  </si>
  <si>
    <t>CIRC</t>
  </si>
  <si>
    <t>Beginning Balance</t>
  </si>
  <si>
    <t>Draw / (Repayment)</t>
  </si>
  <si>
    <t>Amort %</t>
  </si>
  <si>
    <t>Ending Balance</t>
  </si>
  <si>
    <t>Availability</t>
  </si>
  <si>
    <t>It is OK if this is negative ONLY if it occurs in the transaction exit year</t>
  </si>
  <si>
    <t>Interest Expense - Used</t>
  </si>
  <si>
    <t>Int %</t>
  </si>
  <si>
    <t>Interest Expense - Unused</t>
  </si>
  <si>
    <t>Total Interest Expense</t>
  </si>
  <si>
    <t>Financing Fee Amortization</t>
  </si>
  <si>
    <t>Issuance</t>
  </si>
  <si>
    <t>Paydown</t>
  </si>
  <si>
    <t>PIK Accrual</t>
  </si>
  <si>
    <t>Interest Expense - Cash</t>
  </si>
  <si>
    <t>Interest on seller financing PIK only; no cash interest expense</t>
  </si>
  <si>
    <t>Interest Expense - PIK</t>
  </si>
  <si>
    <t>Total Debt</t>
  </si>
  <si>
    <t>Change in Debt</t>
  </si>
  <si>
    <t>Mandatory Debt Paydown</t>
  </si>
  <si>
    <t>Interest Expense - Non-Cash</t>
  </si>
  <si>
    <t>Illustrative APV Calculation Builder</t>
  </si>
  <si>
    <t>Initial Investment</t>
  </si>
  <si>
    <t>EBITDA</t>
  </si>
  <si>
    <t xml:space="preserve">Less: Taxes </t>
  </si>
  <si>
    <t>Less: Capital Expenditures</t>
  </si>
  <si>
    <t>Less: Change in Net Working Capital</t>
  </si>
  <si>
    <t>Free Cash Flow to the Firm</t>
  </si>
  <si>
    <t xml:space="preserve">   Exit value (use multiple of last years EBITDA) </t>
  </si>
  <si>
    <t>Multiple</t>
  </si>
  <si>
    <t>Unlevered Cost of Capital</t>
  </si>
  <si>
    <t>Value of Unlevered Project</t>
  </si>
  <si>
    <t>Cost of Debt (Interest rate)</t>
  </si>
  <si>
    <t>REFERENCED INTEREST EXPENSE FROM LINE 255.</t>
  </si>
  <si>
    <t>PV of Interest tax shields from debt financing</t>
  </si>
  <si>
    <t>need to calculate for each period the tax shield = interest *tax rate.</t>
  </si>
  <si>
    <t>APV</t>
  </si>
  <si>
    <t>Returns Analysis</t>
  </si>
  <si>
    <t>Transaction Multiple</t>
  </si>
  <si>
    <t>Plus: Cash and Cash Equivalents</t>
  </si>
  <si>
    <t>Equity Cash Flows</t>
  </si>
  <si>
    <t>IRR Calculation</t>
  </si>
  <si>
    <t>MOIC Calculation</t>
  </si>
  <si>
    <t>Historical and Projected Income Statement</t>
  </si>
  <si>
    <t>LTM Mar-18</t>
  </si>
  <si>
    <t>Net Sales</t>
  </si>
  <si>
    <t xml:space="preserve">NM </t>
  </si>
  <si>
    <t>% Margin</t>
  </si>
  <si>
    <t>% of Sales</t>
  </si>
  <si>
    <t>Adjusted EBITDA</t>
  </si>
  <si>
    <t>EBITDA Adjustments</t>
  </si>
  <si>
    <t>Reported EBITDA</t>
  </si>
  <si>
    <t>Due Diligence Adjustments</t>
  </si>
  <si>
    <t>1 Orthotec Disposal</t>
  </si>
  <si>
    <t>2 Exactech Transaction / Integration Costs</t>
  </si>
  <si>
    <t>3 Inventory Write-Up</t>
  </si>
  <si>
    <t>4 Exactech Inventory Write-Down</t>
  </si>
  <si>
    <t>5 Non-Recurring Travel Expenses</t>
  </si>
  <si>
    <t>6 Non-Recurring Tyler Fusion License</t>
  </si>
  <si>
    <t>7 One-Time Trade Show</t>
  </si>
  <si>
    <t>8 Related Party Rent</t>
  </si>
  <si>
    <t>9 Non-Recurring Charitable Contributions</t>
  </si>
  <si>
    <t>10 Professional Fees Normalization</t>
  </si>
  <si>
    <t>11 Normalized Owners' Compensation</t>
  </si>
  <si>
    <t>12 Standalone Costs</t>
  </si>
  <si>
    <t>13 One-Time Licensing Income</t>
  </si>
  <si>
    <t>Total Due Diligence Adjustments</t>
  </si>
  <si>
    <t>($ in millions)</t>
  </si>
  <si>
    <t>CAGR</t>
  </si>
  <si>
    <t>Segment</t>
  </si>
  <si>
    <t>Product</t>
  </si>
  <si>
    <t>'17-'23</t>
  </si>
  <si>
    <t>Minimally Invasive</t>
  </si>
  <si>
    <t>Thunderbolt</t>
  </si>
  <si>
    <t>VEO</t>
  </si>
  <si>
    <t>Silverbolt</t>
  </si>
  <si>
    <t>Typhoon</t>
  </si>
  <si>
    <t>Other Minimally Invasive</t>
  </si>
  <si>
    <t>Total Minimally Invasive</t>
  </si>
  <si>
    <t>Cervical</t>
  </si>
  <si>
    <t>Tomcat</t>
  </si>
  <si>
    <t>Blackbird</t>
  </si>
  <si>
    <t>Falcon</t>
  </si>
  <si>
    <t>Ambassador</t>
  </si>
  <si>
    <t>Gibralt</t>
  </si>
  <si>
    <t>Blackhawk</t>
  </si>
  <si>
    <t>Other Cervical</t>
  </si>
  <si>
    <t>Total Cervical</t>
  </si>
  <si>
    <t>Interbody</t>
  </si>
  <si>
    <t>Harpoon</t>
  </si>
  <si>
    <t>Shark</t>
  </si>
  <si>
    <t>Stealth</t>
  </si>
  <si>
    <t>Hawkeye</t>
  </si>
  <si>
    <t>Ascendant</t>
  </si>
  <si>
    <t>Harrier</t>
  </si>
  <si>
    <t>Octane</t>
  </si>
  <si>
    <t>Other Interbody</t>
  </si>
  <si>
    <t>Total Interbody</t>
  </si>
  <si>
    <t>Thoracolumbar</t>
  </si>
  <si>
    <t>Lancer</t>
  </si>
  <si>
    <t>Proliant</t>
  </si>
  <si>
    <t>Starfire</t>
  </si>
  <si>
    <t>Dynabolt</t>
  </si>
  <si>
    <t>Other Thoracolumbar</t>
  </si>
  <si>
    <t>Total Thoracolumbar</t>
  </si>
  <si>
    <t>Biologics</t>
  </si>
  <si>
    <t>Stratofuse</t>
  </si>
  <si>
    <t>Allograft</t>
  </si>
  <si>
    <t>Stratogen (included in Stratofuse)</t>
  </si>
  <si>
    <t>Other Biologics</t>
  </si>
  <si>
    <t>Total Biologics</t>
  </si>
  <si>
    <t>Unaccounted Other</t>
  </si>
  <si>
    <t>Total</t>
  </si>
  <si>
    <t>Quality of Earnings</t>
  </si>
  <si>
    <t>US$ in thousands</t>
  </si>
  <si>
    <t>FY16</t>
  </si>
  <si>
    <t>FY17</t>
  </si>
  <si>
    <t>LTM Jul-18</t>
  </si>
  <si>
    <t>YTD Jul-17</t>
  </si>
  <si>
    <t>YTD Jul-18</t>
  </si>
  <si>
    <t>1. Nonrecurring product returns</t>
  </si>
  <si>
    <t>2. Pro forma Exactech pre-acquisition sales</t>
  </si>
  <si>
    <t xml:space="preserve">NQ </t>
  </si>
  <si>
    <t>Pro forma adjusted net sales +/- NQ</t>
  </si>
  <si>
    <t>EBITDA, as reported</t>
  </si>
  <si>
    <t>EBITDA %, as reported</t>
  </si>
  <si>
    <t>Management's adjustments</t>
  </si>
  <si>
    <t>1. Inventory adjustments</t>
  </si>
  <si>
    <t>2. Loss on asset disposals, net</t>
  </si>
  <si>
    <t>3. professional fees normalization</t>
  </si>
  <si>
    <t>4. Nonrecurring legal settlement</t>
  </si>
  <si>
    <t>5. Pro forma travel expense</t>
  </si>
  <si>
    <t>6. Normalized rent expense</t>
  </si>
  <si>
    <t>7. Out-of-period bad debt expense</t>
  </si>
  <si>
    <t>8. Pro forma co-founder compensation</t>
  </si>
  <si>
    <t>9. Nonrecurring Tyler Fusion license payment</t>
  </si>
  <si>
    <t>10. One-time trade show</t>
  </si>
  <si>
    <t>11. Nonrecurring charitable contributions</t>
  </si>
  <si>
    <t>12. Stand-alone expense normalization</t>
  </si>
  <si>
    <t>13. Exactech transaction and integration costs</t>
  </si>
  <si>
    <t>14. Nonrecurring licensing income</t>
  </si>
  <si>
    <t>Total management's adjustments</t>
  </si>
  <si>
    <t>Management adjusted EBITDA</t>
  </si>
  <si>
    <t>Management adjusted EBITDA %</t>
  </si>
  <si>
    <t>Due diligence adjustments</t>
  </si>
  <si>
    <t>1. Reversal of management's adjustments</t>
  </si>
  <si>
    <t>2. Local property taxes</t>
  </si>
  <si>
    <t>3. Exactech PPA impact on gross profit</t>
  </si>
  <si>
    <t>4. Professional fees</t>
  </si>
  <si>
    <t>5. Accrued salary and wages</t>
  </si>
  <si>
    <t>6. Bad debt expense</t>
  </si>
  <si>
    <t>7. Nonrecurring product returns</t>
  </si>
  <si>
    <t>8. Shared employees, Choice Medical</t>
  </si>
  <si>
    <t xml:space="preserve">[Open] </t>
  </si>
  <si>
    <t>9. Choice Medical expenses</t>
  </si>
  <si>
    <t>10. Change in close process</t>
  </si>
  <si>
    <t>11. Exactech pre-acquisition contribution margin</t>
  </si>
  <si>
    <t>Total diligence adjustments +/- NQ</t>
  </si>
  <si>
    <t>Adjusted EBITDA before inventory adjs. +/- NQ</t>
  </si>
  <si>
    <t>Adjusted EBITDA before inventory adjs. %</t>
  </si>
  <si>
    <t>Inventory diligence adjustments</t>
  </si>
  <si>
    <t>1. Excess and obsolete inventory, core and VEO</t>
  </si>
  <si>
    <t>2. Excess and obsolete inventory, Exactech</t>
  </si>
  <si>
    <t>3. Excess and obsolete inventory, Biologics</t>
  </si>
  <si>
    <t>Total inventory diligence adjustments</t>
  </si>
  <si>
    <t>Adjusted EBITDA after inventory adjs. +/- NQ</t>
  </si>
  <si>
    <t>Adjusted EBITDA after inventory adjs. %</t>
  </si>
  <si>
    <t>Other EBITDA considerations</t>
  </si>
  <si>
    <t>1. Losses on instrument disposals, net</t>
  </si>
  <si>
    <t>2. Pro forma finance and administrative functions</t>
  </si>
  <si>
    <t>3. Unaudited financial statements</t>
  </si>
  <si>
    <t>Quality of Working Capital</t>
  </si>
  <si>
    <t>Current assets</t>
  </si>
  <si>
    <t>Current liabilities</t>
  </si>
  <si>
    <t>Working capital, unadjusted</t>
  </si>
  <si>
    <t>Additions</t>
  </si>
  <si>
    <t>Line of credit</t>
  </si>
  <si>
    <t>Due to affiliates</t>
  </si>
  <si>
    <t>Deferred tax liability</t>
  </si>
  <si>
    <t>Deductions</t>
  </si>
  <si>
    <t>Cash</t>
  </si>
  <si>
    <t>Due from affiliates</t>
  </si>
  <si>
    <t>Working capital, cash free, debt free</t>
  </si>
  <si>
    <t>1. Inventory E&amp;O reserve</t>
  </si>
  <si>
    <t>2. Accrued payroll</t>
  </si>
  <si>
    <t>3. Normalized accounts receivable reserve</t>
  </si>
  <si>
    <t>4. Unrecorded corporate bonuses</t>
  </si>
  <si>
    <t>5. Unaudited financial statements</t>
  </si>
  <si>
    <t>Total due diligence adjustments</t>
  </si>
  <si>
    <t>Working capital, as adjusted +/- NQ</t>
  </si>
  <si>
    <t>Adjusted net working capital as a % of net revenue</t>
  </si>
  <si>
    <t>Potential debt-like items</t>
  </si>
  <si>
    <t>1. Exactech, Inc. earnout</t>
  </si>
  <si>
    <t>2. Accrued commissions</t>
  </si>
  <si>
    <t>3. Accrued royalties</t>
  </si>
  <si>
    <t>4. Accrued commissions - payroll</t>
  </si>
  <si>
    <t>5. Accrued retirement (Rick Henson and Marty Alshuler)</t>
  </si>
  <si>
    <t>6. Volume rebates</t>
  </si>
  <si>
    <t>7. State taxes</t>
  </si>
  <si>
    <t>8. Unrecorded corporate bonuses</t>
  </si>
  <si>
    <t>Total potential debt-like items</t>
  </si>
  <si>
    <t>Working capital, as adjusted +/- NQ less potential debt-like items</t>
  </si>
  <si>
    <t>Unadjusted Monthly Working Capital (Excluding Cash, Due to/from Affiliates, Deferred Taxes, and Interest-Bearing Debt)</t>
  </si>
  <si>
    <t>Averages</t>
  </si>
  <si>
    <t>3-m</t>
  </si>
  <si>
    <t>6-m</t>
  </si>
  <si>
    <t>9-m</t>
  </si>
  <si>
    <t>Accounts receivable</t>
  </si>
  <si>
    <t>Accrued revenue</t>
  </si>
  <si>
    <t>Prepaid expenses</t>
  </si>
  <si>
    <t>Total current assets</t>
  </si>
  <si>
    <t>Accounts payable</t>
  </si>
  <si>
    <t>Accrued expenses</t>
  </si>
  <si>
    <t>Total current liabilities</t>
  </si>
  <si>
    <t>Unadjusted working capital</t>
  </si>
  <si>
    <t>Debt and Debt-Like Items - July 31, 2018</t>
  </si>
  <si>
    <t>On B/S</t>
  </si>
  <si>
    <t>Off B/S</t>
  </si>
  <si>
    <t>Net financial debt</t>
  </si>
  <si>
    <t>Long-term debt</t>
  </si>
  <si>
    <t>Due to/from affiliates, net</t>
  </si>
  <si>
    <t>Less: cash</t>
  </si>
  <si>
    <t>Debt-like items</t>
  </si>
  <si>
    <t>3. Deferred tax liability</t>
  </si>
  <si>
    <t>4. Accrued royalties</t>
  </si>
  <si>
    <t>5. Accrued commissions - employees</t>
  </si>
  <si>
    <t>6. Accrued retirement (Rick Henson and Marty Alshuler)</t>
  </si>
  <si>
    <t>7. Volume rebates</t>
  </si>
  <si>
    <t>8. State taxes</t>
  </si>
  <si>
    <t>9. Unrecorded corporate bonuses</t>
  </si>
  <si>
    <t>10. Transaction-related liabilities</t>
  </si>
  <si>
    <t>11. Potential legal and tax obligations</t>
  </si>
  <si>
    <t>Total debt-like items</t>
  </si>
  <si>
    <t>Net financial debt and debt-like items total +/- NQ</t>
  </si>
  <si>
    <t>Other obligations</t>
  </si>
  <si>
    <t>1. Capital expenditure obligations</t>
  </si>
  <si>
    <t xml:space="preserve">Match cap ex </t>
  </si>
  <si>
    <t>due dillegence report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</si>
</sst>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#,##0.0%_);\(#,##0.0%\)"/>
    <numFmt numFmtId="165" formatCode="#,##0%_);\(#,##0%\)"/>
    <numFmt numFmtId="166" formatCode="&quot;$&quot;#,##0.0_);\(&quot;$&quot;#,##0.0\)"/>
    <numFmt numFmtId="167" formatCode="[$-409]mmm\-yy;@"/>
    <numFmt numFmtId="168" formatCode="#,##0.000%_);\(#,##0.000%\)"/>
    <numFmt numFmtId="169" formatCode="0.0000%"/>
    <numFmt numFmtId="170" formatCode="#,##0.00\x_);\(#,##0.00\x\)"/>
    <numFmt numFmtId="171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 val="singleAccounting"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00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1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centerContinuous"/>
    </xf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2" fillId="2" borderId="0" xfId="0" applyFont="1" applyFill="1"/>
    <xf numFmtId="5" fontId="0" fillId="0" borderId="0" xfId="0" applyNumberFormat="1"/>
    <xf numFmtId="5" fontId="6" fillId="0" borderId="0" xfId="0" applyNumberFormat="1" applyFont="1"/>
    <xf numFmtId="5" fontId="0" fillId="0" borderId="1" xfId="0" applyNumberFormat="1" applyBorder="1"/>
    <xf numFmtId="0" fontId="2" fillId="0" borderId="0" xfId="0" applyFont="1"/>
    <xf numFmtId="5" fontId="2" fillId="0" borderId="1" xfId="0" applyNumberFormat="1" applyFont="1" applyBorder="1"/>
    <xf numFmtId="5" fontId="2" fillId="0" borderId="3" xfId="0" applyNumberFormat="1" applyFont="1" applyBorder="1"/>
    <xf numFmtId="5" fontId="2" fillId="0" borderId="0" xfId="0" applyNumberFormat="1" applyFont="1"/>
    <xf numFmtId="5" fontId="7" fillId="0" borderId="0" xfId="0" applyNumberFormat="1" applyFont="1"/>
    <xf numFmtId="5" fontId="6" fillId="0" borderId="0" xfId="0" applyNumberFormat="1" applyFont="1" applyAlignment="1">
      <alignment horizontal="right"/>
    </xf>
    <xf numFmtId="164" fontId="0" fillId="0" borderId="0" xfId="0" applyNumberFormat="1"/>
    <xf numFmtId="164" fontId="8" fillId="0" borderId="0" xfId="0" applyNumberFormat="1" applyFont="1" applyAlignment="1">
      <alignment horizontal="right"/>
    </xf>
    <xf numFmtId="164" fontId="5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Continuous"/>
    </xf>
    <xf numFmtId="0" fontId="5" fillId="2" borderId="0" xfId="0" applyFont="1" applyFill="1" applyAlignment="1">
      <alignment vertical="center"/>
    </xf>
    <xf numFmtId="166" fontId="6" fillId="0" borderId="0" xfId="0" applyNumberFormat="1" applyFont="1"/>
    <xf numFmtId="166" fontId="10" fillId="0" borderId="1" xfId="0" applyNumberFormat="1" applyFont="1" applyBorder="1"/>
    <xf numFmtId="166" fontId="8" fillId="0" borderId="0" xfId="0" applyNumberFormat="1" applyFont="1"/>
    <xf numFmtId="166" fontId="12" fillId="0" borderId="0" xfId="0" applyNumberFormat="1" applyFont="1"/>
    <xf numFmtId="0" fontId="2" fillId="2" borderId="0" xfId="0" applyFont="1" applyFill="1" applyAlignment="1">
      <alignment horizontal="center" vertical="center"/>
    </xf>
    <xf numFmtId="164" fontId="9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13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right"/>
    </xf>
    <xf numFmtId="165" fontId="9" fillId="0" borderId="1" xfId="0" applyNumberFormat="1" applyFont="1" applyBorder="1" applyAlignment="1">
      <alignment horizontal="right"/>
    </xf>
    <xf numFmtId="0" fontId="9" fillId="0" borderId="0" xfId="0" applyFont="1"/>
    <xf numFmtId="0" fontId="4" fillId="2" borderId="2" xfId="0" applyFont="1" applyFill="1" applyBorder="1" applyAlignment="1">
      <alignment horizontal="centerContinuous"/>
    </xf>
    <xf numFmtId="0" fontId="4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66" fontId="6" fillId="0" borderId="2" xfId="0" applyNumberFormat="1" applyFont="1" applyBorder="1"/>
    <xf numFmtId="166" fontId="8" fillId="0" borderId="2" xfId="0" applyNumberFormat="1" applyFont="1" applyBorder="1"/>
    <xf numFmtId="166" fontId="10" fillId="0" borderId="3" xfId="0" applyNumberFormat="1" applyFont="1" applyBorder="1"/>
    <xf numFmtId="166" fontId="12" fillId="0" borderId="2" xfId="0" applyNumberFormat="1" applyFont="1" applyBorder="1"/>
    <xf numFmtId="0" fontId="4" fillId="2" borderId="4" xfId="0" applyFont="1" applyFill="1" applyBorder="1" applyAlignment="1">
      <alignment horizontal="centerContinuous"/>
    </xf>
    <xf numFmtId="0" fontId="4" fillId="2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6" fontId="6" fillId="0" borderId="4" xfId="0" applyNumberFormat="1" applyFont="1" applyBorder="1"/>
    <xf numFmtId="166" fontId="8" fillId="0" borderId="4" xfId="0" applyNumberFormat="1" applyFont="1" applyBorder="1"/>
    <xf numFmtId="166" fontId="10" fillId="0" borderId="5" xfId="0" applyNumberFormat="1" applyFont="1" applyBorder="1"/>
    <xf numFmtId="166" fontId="12" fillId="0" borderId="4" xfId="0" applyNumberFormat="1" applyFont="1" applyBorder="1"/>
    <xf numFmtId="0" fontId="0" fillId="0" borderId="2" xfId="0" applyBorder="1"/>
    <xf numFmtId="165" fontId="5" fillId="0" borderId="2" xfId="0" applyNumberFormat="1" applyFont="1" applyBorder="1" applyAlignment="1">
      <alignment horizontal="right"/>
    </xf>
    <xf numFmtId="165" fontId="9" fillId="0" borderId="3" xfId="0" applyNumberFormat="1" applyFont="1" applyBorder="1" applyAlignment="1">
      <alignment horizontal="right"/>
    </xf>
    <xf numFmtId="0" fontId="0" fillId="0" borderId="4" xfId="0" applyBorder="1"/>
    <xf numFmtId="165" fontId="5" fillId="0" borderId="4" xfId="0" applyNumberFormat="1" applyFont="1" applyBorder="1" applyAlignment="1">
      <alignment horizontal="right"/>
    </xf>
    <xf numFmtId="165" fontId="9" fillId="0" borderId="5" xfId="0" applyNumberFormat="1" applyFont="1" applyBorder="1" applyAlignment="1">
      <alignment horizontal="right"/>
    </xf>
    <xf numFmtId="14" fontId="4" fillId="2" borderId="0" xfId="0" applyNumberFormat="1" applyFont="1" applyFill="1" applyAlignment="1">
      <alignment horizontal="center"/>
    </xf>
    <xf numFmtId="167" fontId="4" fillId="2" borderId="0" xfId="0" applyNumberFormat="1" applyFont="1" applyFill="1" applyAlignment="1">
      <alignment horizontal="center"/>
    </xf>
    <xf numFmtId="167" fontId="4" fillId="2" borderId="0" xfId="0" applyNumberFormat="1" applyFont="1" applyFill="1" applyAlignment="1">
      <alignment horizontal="centerContinuous"/>
    </xf>
    <xf numFmtId="0" fontId="0" fillId="0" borderId="0" xfId="0" applyAlignment="1">
      <alignment horizontal="left" indent="1"/>
    </xf>
    <xf numFmtId="5" fontId="10" fillId="0" borderId="1" xfId="0" applyNumberFormat="1" applyFont="1" applyBorder="1"/>
    <xf numFmtId="14" fontId="4" fillId="2" borderId="2" xfId="0" applyNumberFormat="1" applyFont="1" applyFill="1" applyBorder="1" applyAlignment="1">
      <alignment horizontal="center"/>
    </xf>
    <xf numFmtId="5" fontId="6" fillId="0" borderId="2" xfId="0" applyNumberFormat="1" applyFont="1" applyBorder="1"/>
    <xf numFmtId="5" fontId="10" fillId="0" borderId="3" xfId="0" applyNumberFormat="1" applyFont="1" applyBorder="1"/>
    <xf numFmtId="5" fontId="6" fillId="0" borderId="2" xfId="0" applyNumberFormat="1" applyFont="1" applyBorder="1" applyAlignment="1">
      <alignment horizontal="right"/>
    </xf>
    <xf numFmtId="5" fontId="14" fillId="0" borderId="0" xfId="0" applyNumberFormat="1" applyFont="1" applyAlignment="1">
      <alignment horizontal="right"/>
    </xf>
    <xf numFmtId="5" fontId="2" fillId="0" borderId="1" xfId="0" applyNumberFormat="1" applyFont="1" applyBorder="1" applyAlignment="1">
      <alignment horizontal="right"/>
    </xf>
    <xf numFmtId="5" fontId="9" fillId="0" borderId="0" xfId="0" applyNumberFormat="1" applyFont="1"/>
    <xf numFmtId="5" fontId="5" fillId="0" borderId="0" xfId="0" applyNumberFormat="1" applyFont="1"/>
    <xf numFmtId="164" fontId="15" fillId="0" borderId="0" xfId="0" applyNumberFormat="1" applyFont="1" applyAlignment="1">
      <alignment horizontal="right"/>
    </xf>
    <xf numFmtId="164" fontId="16" fillId="0" borderId="0" xfId="0" applyNumberFormat="1" applyFont="1" applyAlignment="1">
      <alignment horizontal="right"/>
    </xf>
    <xf numFmtId="0" fontId="5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5" fontId="18" fillId="0" borderId="0" xfId="0" applyNumberFormat="1" applyFont="1"/>
    <xf numFmtId="5" fontId="18" fillId="0" borderId="1" xfId="0" applyNumberFormat="1" applyFont="1" applyBorder="1"/>
    <xf numFmtId="0" fontId="7" fillId="0" borderId="0" xfId="0" applyFont="1" applyAlignment="1">
      <alignment horizontal="right"/>
    </xf>
    <xf numFmtId="37" fontId="0" fillId="0" borderId="0" xfId="0" applyNumberFormat="1"/>
    <xf numFmtId="37" fontId="2" fillId="0" borderId="1" xfId="0" applyNumberFormat="1" applyFont="1" applyBorder="1"/>
    <xf numFmtId="0" fontId="5" fillId="0" borderId="0" xfId="0" applyFont="1" applyAlignment="1">
      <alignment horizontal="left" indent="2"/>
    </xf>
    <xf numFmtId="0" fontId="9" fillId="0" borderId="0" xfId="0" applyFont="1" applyAlignment="1">
      <alignment horizontal="left" indent="1"/>
    </xf>
    <xf numFmtId="5" fontId="9" fillId="0" borderId="1" xfId="0" applyNumberFormat="1" applyFont="1" applyBorder="1"/>
    <xf numFmtId="5" fontId="5" fillId="0" borderId="1" xfId="0" applyNumberFormat="1" applyFont="1" applyBorder="1"/>
    <xf numFmtId="0" fontId="2" fillId="0" borderId="5" xfId="0" applyFont="1" applyBorder="1" applyAlignment="1">
      <alignment horizontal="center"/>
    </xf>
    <xf numFmtId="165" fontId="0" fillId="0" borderId="0" xfId="0" applyNumberFormat="1"/>
    <xf numFmtId="165" fontId="2" fillId="0" borderId="0" xfId="0" applyNumberFormat="1" applyFont="1"/>
    <xf numFmtId="37" fontId="2" fillId="0" borderId="0" xfId="0" applyNumberFormat="1" applyFont="1"/>
    <xf numFmtId="37" fontId="7" fillId="2" borderId="6" xfId="0" applyNumberFormat="1" applyFont="1" applyFill="1" applyBorder="1" applyAlignment="1">
      <alignment horizontal="center"/>
    </xf>
    <xf numFmtId="5" fontId="6" fillId="2" borderId="0" xfId="0" applyNumberFormat="1" applyFont="1" applyFill="1"/>
    <xf numFmtId="5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9" fillId="3" borderId="0" xfId="0" applyFont="1" applyFill="1"/>
    <xf numFmtId="5" fontId="5" fillId="3" borderId="0" xfId="0" applyNumberFormat="1" applyFont="1" applyFill="1"/>
    <xf numFmtId="0" fontId="5" fillId="3" borderId="0" xfId="0" applyFont="1" applyFill="1"/>
    <xf numFmtId="5" fontId="8" fillId="3" borderId="0" xfId="0" applyNumberFormat="1" applyFont="1" applyFill="1" applyAlignment="1">
      <alignment horizontal="right"/>
    </xf>
    <xf numFmtId="165" fontId="8" fillId="2" borderId="0" xfId="0" applyNumberFormat="1" applyFont="1" applyFill="1" applyAlignment="1">
      <alignment horizontal="right"/>
    </xf>
    <xf numFmtId="37" fontId="6" fillId="2" borderId="0" xfId="0" applyNumberFormat="1" applyFont="1" applyFill="1"/>
    <xf numFmtId="164" fontId="8" fillId="2" borderId="0" xfId="0" applyNumberFormat="1" applyFont="1" applyFill="1"/>
    <xf numFmtId="165" fontId="9" fillId="0" borderId="1" xfId="0" applyNumberFormat="1" applyFont="1" applyBorder="1"/>
    <xf numFmtId="168" fontId="8" fillId="2" borderId="0" xfId="0" applyNumberFormat="1" applyFont="1" applyFill="1"/>
    <xf numFmtId="5" fontId="2" fillId="0" borderId="0" xfId="0" applyNumberFormat="1" applyFont="1" applyAlignment="1">
      <alignment horizontal="center"/>
    </xf>
    <xf numFmtId="168" fontId="11" fillId="0" borderId="0" xfId="0" applyNumberFormat="1" applyFont="1"/>
    <xf numFmtId="37" fontId="8" fillId="2" borderId="0" xfId="0" applyNumberFormat="1" applyFont="1" applyFill="1" applyAlignment="1">
      <alignment horizontal="right"/>
    </xf>
    <xf numFmtId="164" fontId="11" fillId="0" borderId="0" xfId="0" applyNumberFormat="1" applyFont="1" applyAlignment="1">
      <alignment horizontal="right"/>
    </xf>
    <xf numFmtId="168" fontId="0" fillId="0" borderId="0" xfId="0" applyNumberFormat="1"/>
    <xf numFmtId="0" fontId="5" fillId="4" borderId="0" xfId="0" applyFont="1" applyFill="1"/>
    <xf numFmtId="0" fontId="0" fillId="4" borderId="0" xfId="0" applyFill="1"/>
    <xf numFmtId="168" fontId="5" fillId="4" borderId="0" xfId="0" applyNumberFormat="1" applyFont="1" applyFill="1"/>
    <xf numFmtId="169" fontId="5" fillId="4" borderId="0" xfId="0" applyNumberFormat="1" applyFont="1" applyFill="1"/>
    <xf numFmtId="0" fontId="10" fillId="5" borderId="0" xfId="0" applyFont="1" applyFill="1" applyAlignment="1">
      <alignment vertical="center"/>
    </xf>
    <xf numFmtId="0" fontId="22" fillId="5" borderId="0" xfId="0" applyFont="1" applyFill="1" applyAlignment="1">
      <alignment horizontal="centerContinuous"/>
    </xf>
    <xf numFmtId="0" fontId="11" fillId="5" borderId="0" xfId="0" applyFont="1" applyFill="1" applyAlignment="1">
      <alignment vertical="center"/>
    </xf>
    <xf numFmtId="0" fontId="22" fillId="5" borderId="0" xfId="0" quotePrefix="1" applyFont="1" applyFill="1" applyAlignment="1">
      <alignment horizontal="center"/>
    </xf>
    <xf numFmtId="37" fontId="8" fillId="5" borderId="0" xfId="0" quotePrefix="1" applyNumberFormat="1" applyFont="1" applyFill="1" applyAlignment="1">
      <alignment horizontal="center" vertical="center"/>
    </xf>
    <xf numFmtId="37" fontId="11" fillId="5" borderId="0" xfId="0" quotePrefix="1" applyNumberFormat="1" applyFont="1" applyFill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/>
    </xf>
    <xf numFmtId="0" fontId="19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9" fillId="6" borderId="0" xfId="0" applyFont="1" applyFill="1" applyAlignment="1">
      <alignment horizontal="centerContinuous"/>
    </xf>
    <xf numFmtId="0" fontId="20" fillId="6" borderId="0" xfId="0" applyFont="1" applyFill="1" applyAlignment="1">
      <alignment vertical="center"/>
    </xf>
    <xf numFmtId="0" fontId="19" fillId="6" borderId="0" xfId="0" quotePrefix="1" applyFont="1" applyFill="1" applyAlignment="1">
      <alignment horizontal="center"/>
    </xf>
    <xf numFmtId="0" fontId="1" fillId="7" borderId="0" xfId="0" applyFont="1" applyFill="1"/>
    <xf numFmtId="0" fontId="3" fillId="7" borderId="0" xfId="0" applyFont="1" applyFill="1"/>
    <xf numFmtId="5" fontId="6" fillId="4" borderId="0" xfId="0" applyNumberFormat="1" applyFont="1" applyFill="1"/>
    <xf numFmtId="164" fontId="8" fillId="2" borderId="0" xfId="0" applyNumberFormat="1" applyFont="1" applyFill="1" applyAlignment="1">
      <alignment horizontal="right"/>
    </xf>
    <xf numFmtId="5" fontId="14" fillId="0" borderId="0" xfId="0" applyNumberFormat="1" applyFont="1"/>
    <xf numFmtId="5" fontId="9" fillId="0" borderId="6" xfId="0" applyNumberFormat="1" applyFont="1" applyBorder="1"/>
    <xf numFmtId="0" fontId="9" fillId="4" borderId="0" xfId="0" applyFont="1" applyFill="1"/>
    <xf numFmtId="0" fontId="5" fillId="0" borderId="9" xfId="0" applyFont="1" applyBorder="1" applyAlignment="1">
      <alignment horizontal="right"/>
    </xf>
    <xf numFmtId="164" fontId="5" fillId="0" borderId="10" xfId="0" applyNumberFormat="1" applyFont="1" applyBorder="1"/>
    <xf numFmtId="5" fontId="0" fillId="0" borderId="9" xfId="0" applyNumberFormat="1" applyBorder="1"/>
    <xf numFmtId="168" fontId="8" fillId="2" borderId="9" xfId="0" applyNumberFormat="1" applyFont="1" applyFill="1" applyBorder="1" applyAlignment="1">
      <alignment horizontal="right"/>
    </xf>
    <xf numFmtId="5" fontId="2" fillId="0" borderId="5" xfId="0" applyNumberFormat="1" applyFont="1" applyBorder="1" applyAlignment="1">
      <alignment horizontal="center"/>
    </xf>
    <xf numFmtId="168" fontId="11" fillId="0" borderId="4" xfId="0" applyNumberFormat="1" applyFont="1" applyBorder="1" applyAlignment="1">
      <alignment horizontal="right"/>
    </xf>
    <xf numFmtId="168" fontId="11" fillId="0" borderId="7" xfId="0" applyNumberFormat="1" applyFont="1" applyBorder="1" applyAlignment="1">
      <alignment horizontal="right"/>
    </xf>
    <xf numFmtId="37" fontId="14" fillId="0" borderId="7" xfId="0" applyNumberFormat="1" applyFont="1" applyBorder="1"/>
    <xf numFmtId="164" fontId="0" fillId="0" borderId="7" xfId="0" applyNumberFormat="1" applyBorder="1"/>
    <xf numFmtId="170" fontId="6" fillId="2" borderId="0" xfId="0" applyNumberFormat="1" applyFont="1" applyFill="1"/>
    <xf numFmtId="170" fontId="6" fillId="0" borderId="0" xfId="0" applyNumberFormat="1" applyFont="1"/>
    <xf numFmtId="170" fontId="2" fillId="0" borderId="0" xfId="0" applyNumberFormat="1" applyFont="1"/>
    <xf numFmtId="170" fontId="0" fillId="0" borderId="0" xfId="0" applyNumberFormat="1"/>
    <xf numFmtId="170" fontId="6" fillId="2" borderId="9" xfId="0" applyNumberFormat="1" applyFont="1" applyFill="1" applyBorder="1"/>
    <xf numFmtId="168" fontId="11" fillId="0" borderId="0" xfId="0" applyNumberFormat="1" applyFont="1" applyAlignment="1">
      <alignment horizontal="right"/>
    </xf>
    <xf numFmtId="37" fontId="14" fillId="0" borderId="7" xfId="0" applyNumberFormat="1" applyFon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37" fontId="5" fillId="0" borderId="0" xfId="0" applyNumberFormat="1" applyFont="1" applyAlignment="1">
      <alignment horizontal="right"/>
    </xf>
    <xf numFmtId="37" fontId="5" fillId="0" borderId="9" xfId="0" applyNumberFormat="1" applyFont="1" applyBorder="1" applyAlignment="1">
      <alignment horizontal="right"/>
    </xf>
    <xf numFmtId="164" fontId="5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5" fontId="24" fillId="0" borderId="0" xfId="0" applyNumberFormat="1" applyFont="1"/>
    <xf numFmtId="165" fontId="23" fillId="2" borderId="7" xfId="0" applyNumberFormat="1" applyFont="1" applyFill="1" applyBorder="1" applyAlignment="1">
      <alignment horizontal="right"/>
    </xf>
    <xf numFmtId="0" fontId="0" fillId="0" borderId="0" xfId="0" applyAlignment="1">
      <alignment horizontal="left" indent="2"/>
    </xf>
    <xf numFmtId="0" fontId="2" fillId="0" borderId="0" xfId="0" applyFont="1" applyAlignment="1">
      <alignment horizontal="left" indent="1"/>
    </xf>
    <xf numFmtId="170" fontId="14" fillId="0" borderId="0" xfId="0" applyNumberFormat="1" applyFont="1"/>
    <xf numFmtId="0" fontId="19" fillId="5" borderId="0" xfId="0" applyFont="1" applyFill="1" applyAlignment="1">
      <alignment horizontal="center" vertical="center"/>
    </xf>
    <xf numFmtId="170" fontId="25" fillId="0" borderId="0" xfId="0" applyNumberFormat="1" applyFont="1" applyAlignment="1">
      <alignment horizontal="right"/>
    </xf>
    <xf numFmtId="0" fontId="9" fillId="0" borderId="11" xfId="0" applyFont="1" applyBorder="1"/>
    <xf numFmtId="0" fontId="9" fillId="0" borderId="1" xfId="0" applyFont="1" applyBorder="1"/>
    <xf numFmtId="165" fontId="25" fillId="0" borderId="3" xfId="0" applyNumberFormat="1" applyFont="1" applyBorder="1"/>
    <xf numFmtId="0" fontId="9" fillId="0" borderId="12" xfId="0" applyFont="1" applyBorder="1"/>
    <xf numFmtId="0" fontId="9" fillId="0" borderId="13" xfId="0" applyFont="1" applyBorder="1"/>
    <xf numFmtId="170" fontId="25" fillId="0" borderId="14" xfId="0" applyNumberFormat="1" applyFont="1" applyBorder="1"/>
    <xf numFmtId="9" fontId="0" fillId="0" borderId="0" xfId="0" applyNumberFormat="1"/>
    <xf numFmtId="5" fontId="9" fillId="0" borderId="6" xfId="0" applyNumberFormat="1" applyFont="1" applyBorder="1" applyAlignment="1">
      <alignment horizontal="center"/>
    </xf>
    <xf numFmtId="164" fontId="9" fillId="0" borderId="0" xfId="0" applyNumberFormat="1" applyFont="1"/>
    <xf numFmtId="5" fontId="9" fillId="0" borderId="0" xfId="0" applyNumberFormat="1" applyFont="1" applyAlignment="1">
      <alignment horizontal="center"/>
    </xf>
    <xf numFmtId="164" fontId="15" fillId="0" borderId="0" xfId="0" applyNumberFormat="1" applyFont="1"/>
    <xf numFmtId="0" fontId="0" fillId="8" borderId="0" xfId="0" applyFill="1"/>
    <xf numFmtId="0" fontId="4" fillId="8" borderId="0" xfId="0" applyFont="1" applyFill="1" applyAlignment="1">
      <alignment vertical="center"/>
    </xf>
    <xf numFmtId="0" fontId="2" fillId="8" borderId="0" xfId="0" quotePrefix="1" applyFont="1" applyFill="1" applyAlignment="1">
      <alignment vertical="center"/>
    </xf>
    <xf numFmtId="0" fontId="7" fillId="2" borderId="0" xfId="0" applyFont="1" applyFill="1" applyAlignment="1">
      <alignment horizontal="centerContinuous"/>
    </xf>
    <xf numFmtId="165" fontId="25" fillId="0" borderId="0" xfId="0" applyNumberFormat="1" applyFont="1"/>
    <xf numFmtId="170" fontId="25" fillId="0" borderId="0" xfId="0" applyNumberFormat="1" applyFont="1"/>
    <xf numFmtId="0" fontId="3" fillId="0" borderId="0" xfId="0" applyFont="1" applyAlignment="1">
      <alignment horizontal="left"/>
    </xf>
    <xf numFmtId="37" fontId="7" fillId="0" borderId="0" xfId="0" applyNumberFormat="1" applyFont="1" applyAlignment="1">
      <alignment horizontal="center"/>
    </xf>
    <xf numFmtId="164" fontId="8" fillId="0" borderId="0" xfId="0" applyNumberFormat="1" applyFont="1"/>
    <xf numFmtId="165" fontId="8" fillId="0" borderId="0" xfId="0" applyNumberFormat="1" applyFont="1" applyAlignment="1">
      <alignment horizontal="right"/>
    </xf>
    <xf numFmtId="5" fontId="13" fillId="0" borderId="0" xfId="0" applyNumberFormat="1" applyFont="1"/>
    <xf numFmtId="0" fontId="2" fillId="9" borderId="0" xfId="0" quotePrefix="1" applyFont="1" applyFill="1" applyAlignment="1">
      <alignment vertical="center"/>
    </xf>
    <xf numFmtId="0" fontId="0" fillId="9" borderId="0" xfId="0" applyFill="1"/>
    <xf numFmtId="0" fontId="2" fillId="4" borderId="5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37" fontId="8" fillId="0" borderId="0" xfId="0" applyNumberFormat="1" applyFont="1" applyAlignment="1">
      <alignment horizontal="right"/>
    </xf>
    <xf numFmtId="0" fontId="5" fillId="8" borderId="0" xfId="0" quotePrefix="1" applyFont="1" applyFill="1" applyAlignment="1">
      <alignment horizontal="left" vertical="center" indent="1"/>
    </xf>
    <xf numFmtId="0" fontId="2" fillId="10" borderId="0" xfId="0" applyFont="1" applyFill="1" applyAlignment="1">
      <alignment horizontal="centerContinuous"/>
    </xf>
    <xf numFmtId="0" fontId="0" fillId="10" borderId="0" xfId="0" applyFill="1"/>
    <xf numFmtId="0" fontId="0" fillId="8" borderId="0" xfId="0" quotePrefix="1" applyFill="1" applyAlignment="1">
      <alignment vertical="center"/>
    </xf>
    <xf numFmtId="0" fontId="2" fillId="10" borderId="0" xfId="0" applyFont="1" applyFill="1" applyAlignment="1">
      <alignment horizontal="left"/>
    </xf>
    <xf numFmtId="0" fontId="0" fillId="11" borderId="0" xfId="0" applyFill="1"/>
    <xf numFmtId="0" fontId="2" fillId="10" borderId="8" xfId="0" applyFont="1" applyFill="1" applyBorder="1" applyAlignment="1">
      <alignment horizontal="center"/>
    </xf>
    <xf numFmtId="0" fontId="7" fillId="9" borderId="10" xfId="0" applyFont="1" applyFill="1" applyBorder="1" applyAlignment="1">
      <alignment horizontal="center"/>
    </xf>
    <xf numFmtId="0" fontId="2" fillId="8" borderId="0" xfId="0" quotePrefix="1" applyFont="1" applyFill="1" applyAlignment="1">
      <alignment horizontal="left" vertical="center" indent="1"/>
    </xf>
    <xf numFmtId="0" fontId="2" fillId="5" borderId="0" xfId="0" applyFont="1" applyFill="1"/>
    <xf numFmtId="0" fontId="0" fillId="5" borderId="0" xfId="0" applyFill="1"/>
    <xf numFmtId="5" fontId="0" fillId="5" borderId="0" xfId="0" applyNumberFormat="1" applyFill="1"/>
    <xf numFmtId="5" fontId="0" fillId="5" borderId="1" xfId="0" applyNumberFormat="1" applyFill="1" applyBorder="1"/>
    <xf numFmtId="6" fontId="2" fillId="5" borderId="0" xfId="0" applyNumberFormat="1" applyFont="1" applyFill="1"/>
    <xf numFmtId="0" fontId="5" fillId="5" borderId="0" xfId="0" applyFont="1" applyFill="1"/>
    <xf numFmtId="164" fontId="15" fillId="2" borderId="6" xfId="0" applyNumberFormat="1" applyFont="1" applyFill="1" applyBorder="1"/>
    <xf numFmtId="165" fontId="9" fillId="5" borderId="6" xfId="0" applyNumberFormat="1" applyFont="1" applyFill="1" applyBorder="1"/>
    <xf numFmtId="6" fontId="0" fillId="0" borderId="0" xfId="0" applyNumberFormat="1"/>
    <xf numFmtId="0" fontId="0" fillId="6" borderId="0" xfId="0" applyFill="1"/>
    <xf numFmtId="0" fontId="2" fillId="6" borderId="0" xfId="0" applyFont="1" applyFill="1"/>
    <xf numFmtId="164" fontId="15" fillId="2" borderId="0" xfId="0" applyNumberFormat="1" applyFont="1" applyFill="1"/>
    <xf numFmtId="7" fontId="0" fillId="5" borderId="0" xfId="0" applyNumberFormat="1" applyFill="1"/>
    <xf numFmtId="0" fontId="0" fillId="13" borderId="0" xfId="0" applyFill="1"/>
    <xf numFmtId="0" fontId="0" fillId="14" borderId="0" xfId="0" applyFill="1"/>
    <xf numFmtId="171" fontId="0" fillId="0" borderId="0" xfId="0" applyNumberFormat="1"/>
    <xf numFmtId="10" fontId="28" fillId="0" borderId="0" xfId="0" applyNumberFormat="1" applyFont="1"/>
    <xf numFmtId="0" fontId="2" fillId="12" borderId="0" xfId="0" applyFont="1" applyFill="1"/>
    <xf numFmtId="0" fontId="0" fillId="15" borderId="0" xfId="0" applyFill="1"/>
    <xf numFmtId="0" fontId="5" fillId="12" borderId="0" xfId="0" applyFont="1" applyFill="1"/>
    <xf numFmtId="0" fontId="0" fillId="12" borderId="0" xfId="0" applyFill="1" applyAlignment="1">
      <alignment horizontal="left" indent="1"/>
    </xf>
    <xf numFmtId="0" fontId="17" fillId="15" borderId="0" xfId="0" applyFont="1" applyFill="1" applyAlignment="1">
      <alignment horizontal="center"/>
    </xf>
    <xf numFmtId="165" fontId="17" fillId="15" borderId="0" xfId="0" applyNumberFormat="1" applyFont="1" applyFill="1" applyAlignment="1">
      <alignment horizontal="center"/>
    </xf>
    <xf numFmtId="0" fontId="2" fillId="14" borderId="0" xfId="0" applyFont="1" applyFill="1"/>
    <xf numFmtId="0" fontId="4" fillId="15" borderId="0" xfId="0" applyFont="1" applyFill="1" applyAlignment="1">
      <alignment horizontal="center"/>
    </xf>
    <xf numFmtId="0" fontId="4" fillId="15" borderId="0" xfId="0" applyFont="1" applyFill="1" applyAlignment="1">
      <alignment horizontal="centerContinuous"/>
    </xf>
    <xf numFmtId="0" fontId="0" fillId="15" borderId="8" xfId="0" applyFill="1" applyBorder="1"/>
    <xf numFmtId="0" fontId="5" fillId="15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2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cLaughlin, Emma H." id="{D82E97BE-FAAB-410C-9370-E45E814547E5}" userId="McLaughlin, Emma H." providerId="None"/>
  <person displayName="Psyhojos, Sophia M." id="{56243215-832E-491C-9648-C341BEB29BC5}" userId="S::sophia.m.psyhojos.tu23@tuck.dartmouth.edu::a05cc6c1-f11f-4638-9f01-13cf4c593b6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8" dT="2022-11-07T11:51:58.87" personId="{D82E97BE-FAAB-410C-9370-E45E814547E5}" id="{B11E308B-D5BB-40BE-B886-E55FF80B714E}">
    <text>The longer you hold, the more IRR goes down.</text>
  </threadedComment>
  <threadedComment ref="I18" dT="2022-11-07T11:52:18.89" personId="{D82E97BE-FAAB-410C-9370-E45E814547E5}" id="{E8D52348-3806-4DD1-9F29-F7DA28D5D20D}" parentId="{B11E308B-D5BB-40BE-B886-E55FF80B714E}">
    <text xml:space="preserve">Sponsor (general partner) cares about MOIC because some carry is tied to that 
LPs care about hold dollar profit and not just high dollar return for exiting fast 
</text>
  </threadedComment>
  <threadedComment ref="G34" dT="2022-11-07T11:54:40.78" personId="{D82E97BE-FAAB-410C-9370-E45E814547E5}" id="{740430FA-5EE3-43E7-820F-2C15E0A6CB89}">
    <text>Picked these numbers based on ppt from Monday class slides and working backwards from percent to calculate multiple</text>
  </threadedComment>
  <threadedComment ref="J34" dT="2022-11-07T12:03:53.30" personId="{D82E97BE-FAAB-410C-9370-E45E814547E5}" id="{04C79414-E2E2-48C2-AC3A-5A69DD858746}">
    <text xml:space="preserve">Based on class slides from Monday
</text>
  </threadedComment>
  <threadedComment ref="D35" dT="2022-11-07T11:53:26.12" personId="{D82E97BE-FAAB-410C-9370-E45E814547E5}" id="{7FC9EA4F-94D1-46B0-934F-B272E9D7168C}">
    <text xml:space="preserve">
Revolver - credit card for company shold be set to 0 in sources and uses because if you buy company and negative cash flow, business would be able to pull on revolver to fund 
Rolver not for funding the deal </text>
  </threadedComment>
  <threadedComment ref="D36" dT="2022-11-07T11:53:37.06" personId="{D82E97BE-FAAB-410C-9370-E45E814547E5}" id="{FE31AD28-7250-4D08-9D68-835B5DC2D6DC}">
    <text xml:space="preserve">Term loan = senior debt </text>
  </threadedComment>
  <threadedComment ref="D37" dT="2022-11-07T11:53:48.59" personId="{D82E97BE-FAAB-410C-9370-E45E814547E5}" id="{B34013BD-9411-47EE-849F-0DBF9796B883}">
    <text xml:space="preserve">Sub debt = subortinated debt
</text>
  </threadedComment>
  <threadedComment ref="D38" dT="2022-11-07T11:53:58.94" personId="{D82E97BE-FAAB-410C-9370-E45E814547E5}" id="{C16582AE-EF5B-499E-9B48-E394A48A6DFC}">
    <text xml:space="preserve">Sell note = 2M of 10M is seller note, giving business owner 8M and pay 2M over course of the time - helps align PE firm and the seller to have high sell note 
</text>
  </threadedComment>
  <threadedComment ref="D40" dT="2022-11-07T11:54:58.85" personId="{D82E97BE-FAAB-410C-9370-E45E814547E5}" id="{725D9853-D79B-44AC-9DA8-2118B5F5B612}">
    <text xml:space="preserve">
Owners own common stock so rolling over equity into new transaction where you and management would own part of the equity - would be further aligning firm with seller bc seller remains to have skin in the game (5-10%) solve for this (5% of ebita equals what multiple </text>
  </threadedComment>
  <threadedComment ref="D41" dT="2022-11-07T12:03:04.01" personId="{D82E97BE-FAAB-410C-9370-E45E814547E5}" id="{BC90271B-3270-48E8-8865-3FB20AB37E8E}">
    <text>Is this equity?</text>
  </threadedComment>
  <threadedComment ref="C61" dT="2022-11-07T11:53:04.01" personId="{D82E97BE-FAAB-410C-9370-E45E814547E5}" id="{40E9E96D-F59D-42EC-BD26-7D398B4FF897}">
    <text xml:space="preserve">Base case have exit multiple equal to entry multiple because don’t want to only rely on multiple expansion to fuel returns - if do acquisitions and it grows should see expansion
</text>
  </threadedComment>
  <threadedComment ref="C61" dT="2022-11-07T12:15:57.70" personId="{D82E97BE-FAAB-410C-9370-E45E814547E5}" id="{094C2D2B-4610-49D2-B0CB-D2A462FFF2E8}" parentId="{40E9E96D-F59D-42EC-BD26-7D398B4FF897}">
    <text xml:space="preserve">Page 15 of mgmt deck 14.9% Revenue CAGR
</text>
  </threadedComment>
  <threadedComment ref="C67" dT="2022-11-07T12:19:28.80" personId="{D82E97BE-FAAB-410C-9370-E45E814547E5}" id="{BF1B4E40-A080-4823-B350-086482629DE1}">
    <text xml:space="preserve">Pg 74 mgmt projections
</text>
  </threadedComment>
  <threadedComment ref="C73" dT="2022-11-07T12:19:39.57" personId="{D82E97BE-FAAB-410C-9370-E45E814547E5}" id="{80E45722-178F-490F-BE53-C5F16842EA67}">
    <text>Pg 74 mgmt projections</text>
  </threadedComment>
  <threadedComment ref="C79" dT="2022-11-07T12:20:05.48" personId="{D82E97BE-FAAB-410C-9370-E45E814547E5}" id="{F68C32AB-81BD-49C4-BA34-54596C5A31D5}">
    <text xml:space="preserve">Pg 74 mgmt projections
</text>
  </threadedComment>
  <threadedComment ref="C91" dT="2022-11-07T12:17:02.84" personId="{D82E97BE-FAAB-410C-9370-E45E814547E5}" id="{9C4D8C04-AD27-4C7B-9274-CBBDC6B2FC75}">
    <text xml:space="preserve">Pg 75 of mgmt deck
</text>
  </threadedComment>
  <threadedComment ref="C153" dT="2022-11-07T11:55:18.64" personId="{D82E97BE-FAAB-410C-9370-E45E814547E5}" id="{C7033E8A-8B58-4B70-9FDE-A454172FABA9}">
    <text>PP&amp;E - CAPX wants you to take a look at the management presentation anything about new projects or new products - will go up if (page 75 in management presentation) projected growth and maintance capx</text>
  </threadedComment>
  <threadedComment ref="C195" dT="2022-11-07T16:22:29.81" personId="{56243215-832E-491C-9648-C341BEB29BC5}" id="{C6B4CE78-FC40-47B4-96AB-AFE2EC6E29CA}">
    <text>page 51 of mgmt deck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Q294"/>
  <sheetViews>
    <sheetView showGridLines="0" topLeftCell="A261" zoomScale="106" zoomScaleNormal="100" workbookViewId="0">
      <selection activeCell="G19" sqref="G19"/>
    </sheetView>
  </sheetViews>
  <sheetFormatPr baseColWidth="10" defaultColWidth="8.83203125" defaultRowHeight="15" outlineLevelRow="1" x14ac:dyDescent="0.2"/>
  <cols>
    <col min="1" max="2" width="1.5" customWidth="1"/>
    <col min="3" max="3" width="28.1640625" customWidth="1"/>
    <col min="4" max="13" width="9.5" customWidth="1"/>
    <col min="14" max="14" width="12.5" customWidth="1"/>
    <col min="15" max="15" width="1.5" customWidth="1"/>
    <col min="16" max="16" width="71" customWidth="1"/>
    <col min="17" max="17" width="1.5" customWidth="1"/>
  </cols>
  <sheetData>
    <row r="1" spans="1:16" ht="10.25" customHeight="1" x14ac:dyDescent="0.2"/>
    <row r="2" spans="1:16" ht="18" outlineLevel="1" x14ac:dyDescent="0.2">
      <c r="C2" s="169" t="s">
        <v>0</v>
      </c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16" ht="14.75" customHeight="1" outlineLevel="1" x14ac:dyDescent="0.2">
      <c r="C3" s="187" t="s">
        <v>1</v>
      </c>
      <c r="D3" s="171" t="s">
        <v>2</v>
      </c>
      <c r="E3" s="171"/>
      <c r="F3" s="171"/>
      <c r="G3" s="188" t="s">
        <v>3</v>
      </c>
      <c r="H3" s="185"/>
      <c r="I3" s="185"/>
      <c r="J3" s="185"/>
      <c r="K3" s="186"/>
      <c r="L3" s="186"/>
      <c r="M3" s="186"/>
      <c r="N3" s="186"/>
      <c r="O3" s="168"/>
      <c r="P3" s="168"/>
    </row>
    <row r="4" spans="1:16" ht="14.75" customHeight="1" outlineLevel="1" x14ac:dyDescent="0.2">
      <c r="C4" s="184" t="s">
        <v>4</v>
      </c>
      <c r="D4" s="187"/>
      <c r="E4" s="187"/>
      <c r="F4" s="187"/>
      <c r="G4" s="187"/>
      <c r="H4" s="168"/>
      <c r="I4" s="168"/>
      <c r="J4" s="168"/>
      <c r="K4" s="168"/>
      <c r="L4" s="168"/>
      <c r="M4" s="168"/>
      <c r="N4" s="168"/>
      <c r="O4" s="168"/>
      <c r="P4" s="168"/>
    </row>
    <row r="5" spans="1:16" ht="14.75" customHeight="1" outlineLevel="1" x14ac:dyDescent="0.2">
      <c r="C5" s="187" t="s">
        <v>5</v>
      </c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</row>
    <row r="6" spans="1:16" ht="14.75" customHeight="1" outlineLevel="1" x14ac:dyDescent="0.2">
      <c r="C6" s="170" t="s">
        <v>6</v>
      </c>
      <c r="D6" s="168"/>
      <c r="E6" s="168"/>
      <c r="F6" s="168"/>
      <c r="G6" s="186" t="s">
        <v>7</v>
      </c>
      <c r="H6" s="186"/>
      <c r="I6" s="186"/>
      <c r="J6" s="186"/>
      <c r="K6" s="186"/>
      <c r="L6" s="186"/>
      <c r="M6" s="186"/>
      <c r="N6" s="186"/>
      <c r="O6" s="168"/>
      <c r="P6" s="168"/>
    </row>
    <row r="7" spans="1:16" ht="14.75" customHeight="1" outlineLevel="1" x14ac:dyDescent="0.2">
      <c r="C7" s="170" t="s">
        <v>8</v>
      </c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</row>
    <row r="8" spans="1:16" ht="14.75" customHeight="1" outlineLevel="1" x14ac:dyDescent="0.2">
      <c r="C8" s="192" t="s">
        <v>9</v>
      </c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</row>
    <row r="9" spans="1:16" ht="14.75" customHeight="1" outlineLevel="1" x14ac:dyDescent="0.2">
      <c r="C9" s="192" t="s">
        <v>10</v>
      </c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</row>
    <row r="10" spans="1:16" ht="14.75" customHeight="1" outlineLevel="1" x14ac:dyDescent="0.2">
      <c r="C10" s="192" t="s">
        <v>11</v>
      </c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</row>
    <row r="11" spans="1:16" ht="14.75" customHeight="1" outlineLevel="1" x14ac:dyDescent="0.2">
      <c r="C11" s="192" t="s">
        <v>12</v>
      </c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</row>
    <row r="12" spans="1:16" ht="14.75" customHeight="1" outlineLevel="1" x14ac:dyDescent="0.2">
      <c r="C12" s="179" t="s">
        <v>13</v>
      </c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</row>
    <row r="13" spans="1:16" ht="5" customHeight="1" outlineLevel="1" x14ac:dyDescent="0.2"/>
    <row r="14" spans="1:16" x14ac:dyDescent="0.2">
      <c r="C14" s="122" t="s">
        <v>14</v>
      </c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</row>
    <row r="15" spans="1:16" ht="5" customHeight="1" x14ac:dyDescent="0.2"/>
    <row r="16" spans="1:16" ht="16.5" customHeight="1" x14ac:dyDescent="0.2">
      <c r="A16" t="s">
        <v>15</v>
      </c>
      <c r="D16" s="115" t="s">
        <v>16</v>
      </c>
      <c r="E16" s="116"/>
      <c r="F16" s="116"/>
      <c r="G16" s="116"/>
      <c r="H16" s="116"/>
      <c r="I16" s="116"/>
      <c r="J16" s="116"/>
      <c r="K16" s="116"/>
      <c r="L16" s="116"/>
      <c r="M16" s="174"/>
      <c r="N16" s="174"/>
      <c r="P16" s="117" t="s">
        <v>17</v>
      </c>
    </row>
    <row r="17" spans="1:16" ht="5" customHeight="1" x14ac:dyDescent="0.2">
      <c r="D17" s="70"/>
      <c r="E17" s="71"/>
      <c r="F17" s="71"/>
      <c r="G17" s="71"/>
      <c r="H17" s="71"/>
      <c r="I17" s="71"/>
      <c r="J17" s="71"/>
      <c r="K17" s="71"/>
      <c r="L17" s="71"/>
      <c r="M17" s="71"/>
      <c r="N17" s="71"/>
    </row>
    <row r="18" spans="1:16" ht="14.75" customHeight="1" x14ac:dyDescent="0.2">
      <c r="A18" s="186"/>
      <c r="D18" s="9" t="str">
        <f ca="1">OFFSET(C60,G18,)&amp;" Case"</f>
        <v>Base Case</v>
      </c>
      <c r="E18" s="9"/>
      <c r="F18" s="9"/>
      <c r="G18" s="86">
        <v>1</v>
      </c>
      <c r="H18" s="9"/>
      <c r="I18" s="9" t="s">
        <v>18</v>
      </c>
      <c r="J18" s="9"/>
      <c r="K18" s="9"/>
      <c r="L18" s="86">
        <v>5</v>
      </c>
      <c r="M18" s="175"/>
      <c r="N18" s="175"/>
      <c r="P18" t="s">
        <v>19</v>
      </c>
    </row>
    <row r="19" spans="1:16" ht="5" customHeight="1" x14ac:dyDescent="0.2"/>
    <row r="20" spans="1:16" ht="14.5" customHeight="1" x14ac:dyDescent="0.2">
      <c r="D20" s="18" t="s">
        <v>20</v>
      </c>
      <c r="E20" s="18"/>
      <c r="F20" s="18"/>
      <c r="G20" s="89" t="s">
        <v>21</v>
      </c>
      <c r="H20" s="18"/>
      <c r="I20" s="18" t="s">
        <v>22</v>
      </c>
      <c r="J20" s="18"/>
      <c r="K20" s="18"/>
      <c r="L20" s="88" t="str">
        <f ca="1">OFFSET(G96,,L18)</f>
        <v>2023</v>
      </c>
      <c r="M20" s="88"/>
      <c r="N20" s="88"/>
    </row>
    <row r="21" spans="1:16" ht="5" customHeight="1" x14ac:dyDescent="0.2">
      <c r="D21" s="18"/>
      <c r="E21" s="18"/>
      <c r="F21" s="18"/>
      <c r="G21" s="89"/>
      <c r="H21" s="18"/>
      <c r="I21" s="18"/>
      <c r="J21" s="18"/>
      <c r="K21" s="18"/>
      <c r="L21" s="88"/>
      <c r="M21" s="88"/>
      <c r="N21" s="88"/>
    </row>
    <row r="22" spans="1:16" ht="14.5" customHeight="1" x14ac:dyDescent="0.2">
      <c r="D22" t="s">
        <v>23</v>
      </c>
      <c r="G22" s="6">
        <f>G107</f>
        <v>5706</v>
      </c>
      <c r="I22" t="s">
        <v>24</v>
      </c>
      <c r="L22" s="6">
        <f ca="1">OFFSET(G107,,L18)</f>
        <v>14899.631488442061</v>
      </c>
      <c r="M22" s="6"/>
      <c r="N22" s="6"/>
    </row>
    <row r="23" spans="1:16" ht="14.5" customHeight="1" x14ac:dyDescent="0.2">
      <c r="A23" s="186"/>
      <c r="D23" t="s">
        <v>25</v>
      </c>
      <c r="G23" s="138">
        <v>14</v>
      </c>
      <c r="I23" t="s">
        <v>26</v>
      </c>
      <c r="L23" s="138">
        <f>IF(G18=1,14,IF(G18=2,20,10))</f>
        <v>14</v>
      </c>
      <c r="M23" s="139"/>
      <c r="N23" s="139"/>
      <c r="P23" t="s">
        <v>27</v>
      </c>
    </row>
    <row r="24" spans="1:16" ht="14.5" customHeight="1" x14ac:dyDescent="0.2">
      <c r="D24" s="9" t="s">
        <v>28</v>
      </c>
      <c r="E24" s="9"/>
      <c r="F24" s="9"/>
      <c r="G24" s="10">
        <f>G22*G23</f>
        <v>79884</v>
      </c>
      <c r="H24" s="9"/>
      <c r="I24" s="9" t="s">
        <v>28</v>
      </c>
      <c r="J24" s="9"/>
      <c r="K24" s="9"/>
      <c r="L24" s="10">
        <f ca="1">L22*L23</f>
        <v>208594.84083818886</v>
      </c>
      <c r="M24" s="12"/>
      <c r="N24" s="12"/>
      <c r="P24" t="s">
        <v>29</v>
      </c>
    </row>
    <row r="25" spans="1:16" ht="14.5" customHeight="1" x14ac:dyDescent="0.2">
      <c r="G25" s="6"/>
      <c r="I25" t="s">
        <v>30</v>
      </c>
      <c r="L25" s="6">
        <f ca="1">OFFSET(G249,,L18)</f>
        <v>57872.922305927896</v>
      </c>
      <c r="M25" s="6"/>
      <c r="N25" s="6"/>
      <c r="P25" t="s">
        <v>31</v>
      </c>
    </row>
    <row r="26" spans="1:16" ht="14.5" customHeight="1" x14ac:dyDescent="0.2">
      <c r="D26" s="18"/>
      <c r="E26" s="18"/>
      <c r="F26" s="18"/>
      <c r="G26" s="166"/>
      <c r="I26" t="s">
        <v>32</v>
      </c>
      <c r="L26" s="6">
        <f ca="1">OFFSET(G147,,L18)</f>
        <v>-1000</v>
      </c>
      <c r="M26" s="6"/>
      <c r="N26" s="6"/>
      <c r="P26" t="s">
        <v>33</v>
      </c>
    </row>
    <row r="27" spans="1:16" ht="14.5" customHeight="1" x14ac:dyDescent="0.2">
      <c r="H27" s="9"/>
      <c r="I27" s="9" t="s">
        <v>34</v>
      </c>
      <c r="J27" s="9"/>
      <c r="K27" s="9"/>
      <c r="L27" s="10">
        <f ca="1">L24-L25+L26</f>
        <v>149721.91853226096</v>
      </c>
      <c r="M27" s="12"/>
      <c r="N27" s="12"/>
    </row>
    <row r="28" spans="1:16" ht="5" customHeight="1" x14ac:dyDescent="0.2">
      <c r="G28" s="6"/>
      <c r="L28" s="6"/>
      <c r="M28" s="6"/>
      <c r="N28" s="6"/>
    </row>
    <row r="29" spans="1:16" ht="14.5" customHeight="1" x14ac:dyDescent="0.2">
      <c r="D29" s="104" t="s">
        <v>35</v>
      </c>
      <c r="E29" s="104"/>
      <c r="F29" s="104"/>
      <c r="G29" s="164" t="str">
        <f ca="1">IF(SUM(G170:L170)=0,"OK","CHECK")</f>
        <v>OK</v>
      </c>
      <c r="I29" s="157" t="str">
        <f>$L$18&amp;"-Year IRR"</f>
        <v>5-Year IRR</v>
      </c>
      <c r="J29" s="158"/>
      <c r="K29" s="158"/>
      <c r="L29" s="159">
        <f ca="1">OFFSET(G291,,$L$18)</f>
        <v>0.45130865172340773</v>
      </c>
      <c r="M29" s="172"/>
      <c r="N29" s="172"/>
      <c r="P29" s="18" t="s">
        <v>36</v>
      </c>
    </row>
    <row r="30" spans="1:16" ht="14.5" customHeight="1" x14ac:dyDescent="0.2">
      <c r="D30" s="104" t="s">
        <v>37</v>
      </c>
      <c r="E30" s="104"/>
      <c r="F30" s="104"/>
      <c r="G30" s="164" t="str">
        <f ca="1">IF(OR(AND(H206&lt;$L$18,H214&lt;0),AND(I206&lt;$L$18,I214&lt;0),AND(J206&lt;$L$18,J214&lt;0),AND(K206&lt;$L$18,K214&lt;0),AND(L206&lt;$L$18,L214&lt;0),AND(M206&lt;$L$18,M214&lt;0),AND(N206&lt;$L$18,N214&lt;0)),"CHECK","OK")</f>
        <v>OK</v>
      </c>
      <c r="I30" s="160" t="str">
        <f>$L$18&amp;"-Year MOIC"</f>
        <v>5-Year MOIC</v>
      </c>
      <c r="J30" s="161"/>
      <c r="K30" s="161"/>
      <c r="L30" s="162">
        <f ca="1">OFFSET(G292,,$L$18)</f>
        <v>6.4387108350719009</v>
      </c>
      <c r="M30" s="173"/>
      <c r="N30" s="173"/>
      <c r="P30" s="18" t="s">
        <v>38</v>
      </c>
    </row>
    <row r="31" spans="1:16" ht="10.25" customHeight="1" x14ac:dyDescent="0.2"/>
    <row r="32" spans="1:16" ht="16.5" customHeight="1" x14ac:dyDescent="0.2">
      <c r="A32" t="s">
        <v>15</v>
      </c>
      <c r="D32" s="115" t="s">
        <v>39</v>
      </c>
      <c r="E32" s="116"/>
      <c r="F32" s="116"/>
      <c r="G32" s="116"/>
      <c r="H32" s="116"/>
      <c r="I32" s="116"/>
      <c r="J32" s="116"/>
      <c r="K32" s="116"/>
      <c r="L32" s="116"/>
      <c r="M32" s="174"/>
      <c r="N32" s="174"/>
      <c r="P32" s="117" t="s">
        <v>17</v>
      </c>
    </row>
    <row r="33" spans="1:16" ht="5" customHeight="1" x14ac:dyDescent="0.2">
      <c r="D33" s="70"/>
      <c r="E33" s="71"/>
      <c r="F33" s="71"/>
      <c r="G33" s="71"/>
      <c r="H33" s="71"/>
      <c r="I33" s="71"/>
      <c r="J33" s="71"/>
      <c r="K33" s="71"/>
      <c r="L33" s="71"/>
      <c r="M33" s="71"/>
      <c r="N33" s="71"/>
    </row>
    <row r="34" spans="1:16" ht="16.5" customHeight="1" x14ac:dyDescent="0.35">
      <c r="D34" s="72" t="s">
        <v>40</v>
      </c>
      <c r="E34" s="20" t="s">
        <v>41</v>
      </c>
      <c r="F34" s="20" t="s">
        <v>42</v>
      </c>
      <c r="G34" s="20" t="s">
        <v>43</v>
      </c>
      <c r="H34" s="218" t="s">
        <v>44</v>
      </c>
      <c r="I34" s="218"/>
      <c r="J34" s="21" t="s">
        <v>45</v>
      </c>
      <c r="K34" s="217" t="s">
        <v>46</v>
      </c>
      <c r="L34" s="217" t="s">
        <v>47</v>
      </c>
      <c r="M34" s="20"/>
      <c r="N34" s="20"/>
    </row>
    <row r="35" spans="1:16" ht="14.5" customHeight="1" x14ac:dyDescent="0.2">
      <c r="A35" s="186"/>
      <c r="D35" t="s">
        <v>48</v>
      </c>
      <c r="E35" s="6">
        <f>G35*$G$54</f>
        <v>0</v>
      </c>
      <c r="F35" s="19">
        <f>E35/E$42</f>
        <v>0</v>
      </c>
      <c r="G35" s="138">
        <v>0</v>
      </c>
      <c r="H35" s="89" t="s">
        <v>49</v>
      </c>
      <c r="I35" s="100">
        <f>I36</f>
        <v>0.04</v>
      </c>
      <c r="J35" s="146">
        <f>J36</f>
        <v>6</v>
      </c>
      <c r="K35" s="149" t="s">
        <v>50</v>
      </c>
      <c r="L35" s="148">
        <f>L36</f>
        <v>0.01</v>
      </c>
      <c r="M35" s="148"/>
      <c r="N35" s="148"/>
      <c r="P35" t="s">
        <v>51</v>
      </c>
    </row>
    <row r="36" spans="1:16" ht="14.5" customHeight="1" x14ac:dyDescent="0.2">
      <c r="A36" s="186"/>
      <c r="D36" t="s">
        <v>52</v>
      </c>
      <c r="E36" s="6">
        <f>G36*$G$54</f>
        <v>31953.599999999999</v>
      </c>
      <c r="F36" s="19">
        <f>E36/E$42</f>
        <v>0.38818115596824276</v>
      </c>
      <c r="G36" s="138">
        <v>5.6</v>
      </c>
      <c r="H36" s="89" t="s">
        <v>49</v>
      </c>
      <c r="I36" s="98">
        <v>0.04</v>
      </c>
      <c r="J36" s="101">
        <v>6</v>
      </c>
      <c r="K36" s="96">
        <v>0.05</v>
      </c>
      <c r="L36" s="96">
        <v>0.01</v>
      </c>
      <c r="M36" s="176"/>
      <c r="N36" s="176"/>
      <c r="P36" t="s">
        <v>53</v>
      </c>
    </row>
    <row r="37" spans="1:16" ht="14.5" customHeight="1" x14ac:dyDescent="0.2">
      <c r="A37" s="186"/>
      <c r="D37" t="s">
        <v>54</v>
      </c>
      <c r="E37" s="6">
        <f>G37*$G$54</f>
        <v>19971</v>
      </c>
      <c r="F37" s="19">
        <f>E37/E$42</f>
        <v>0.24261322248015174</v>
      </c>
      <c r="G37" s="138">
        <v>3.5</v>
      </c>
      <c r="H37" s="89" t="s">
        <v>49</v>
      </c>
      <c r="I37" s="98">
        <v>0.12</v>
      </c>
      <c r="J37" s="101">
        <v>8</v>
      </c>
      <c r="K37" s="96">
        <v>0</v>
      </c>
      <c r="L37" s="96">
        <v>0.01</v>
      </c>
      <c r="M37" s="176"/>
      <c r="N37" s="176"/>
      <c r="P37" t="s">
        <v>53</v>
      </c>
    </row>
    <row r="38" spans="1:16" ht="14.5" customHeight="1" x14ac:dyDescent="0.2">
      <c r="A38" s="186"/>
      <c r="D38" t="s">
        <v>55</v>
      </c>
      <c r="E38" s="6">
        <f>G38*$G$54</f>
        <v>5706</v>
      </c>
      <c r="F38" s="19">
        <f>E38/E$42</f>
        <v>6.9318063565757648E-2</v>
      </c>
      <c r="G38" s="138">
        <v>1</v>
      </c>
      <c r="H38" s="89" t="s">
        <v>49</v>
      </c>
      <c r="I38" s="98">
        <v>0</v>
      </c>
      <c r="J38" s="101">
        <v>5</v>
      </c>
      <c r="K38" s="96">
        <v>0</v>
      </c>
      <c r="L38" s="94">
        <v>0</v>
      </c>
      <c r="M38" s="177"/>
      <c r="N38" s="177"/>
      <c r="P38" t="s">
        <v>56</v>
      </c>
    </row>
    <row r="39" spans="1:16" ht="14.5" customHeight="1" x14ac:dyDescent="0.2">
      <c r="A39" s="186"/>
      <c r="E39" s="6"/>
      <c r="F39" s="19"/>
      <c r="G39" s="139"/>
      <c r="H39" s="89" t="s">
        <v>57</v>
      </c>
      <c r="I39" s="98">
        <v>0</v>
      </c>
      <c r="J39" s="183"/>
      <c r="K39" s="176"/>
      <c r="L39" s="177"/>
      <c r="M39" s="177"/>
      <c r="N39" s="177"/>
    </row>
    <row r="40" spans="1:16" ht="14.5" customHeight="1" x14ac:dyDescent="0.2">
      <c r="A40" s="186"/>
      <c r="D40" t="s">
        <v>58</v>
      </c>
      <c r="E40" s="6">
        <f>G40*$G$54</f>
        <v>3994.2</v>
      </c>
      <c r="F40" s="19">
        <f>E40/E$42</f>
        <v>4.8522644496030345E-2</v>
      </c>
      <c r="G40" s="138">
        <v>0.7</v>
      </c>
      <c r="H40" s="214" t="s">
        <v>59</v>
      </c>
      <c r="I40" s="215" t="s">
        <v>60</v>
      </c>
      <c r="L40" s="83"/>
      <c r="M40" s="83"/>
      <c r="N40" s="83"/>
    </row>
    <row r="41" spans="1:16" ht="14.5" customHeight="1" x14ac:dyDescent="0.2">
      <c r="A41" s="186"/>
      <c r="D41" s="211" t="s">
        <v>61</v>
      </c>
      <c r="E41" s="6">
        <f>E42-SUM(E35:E40)</f>
        <v>20691.405999999995</v>
      </c>
      <c r="F41" s="19">
        <f>E41/E$42</f>
        <v>0.25136491348981754</v>
      </c>
      <c r="G41" s="139"/>
      <c r="H41" s="98">
        <v>2.76E-2</v>
      </c>
      <c r="I41" s="98">
        <v>2.5000000000000001E-3</v>
      </c>
      <c r="J41" s="103">
        <f>SUM(H41:I41)</f>
        <v>3.0099999999999998E-2</v>
      </c>
      <c r="L41" s="83"/>
      <c r="M41" s="83"/>
      <c r="N41" s="83"/>
      <c r="P41" s="18" t="s">
        <v>62</v>
      </c>
    </row>
    <row r="42" spans="1:16" s="9" customFormat="1" ht="14.5" customHeight="1" x14ac:dyDescent="0.2">
      <c r="D42" s="9" t="s">
        <v>63</v>
      </c>
      <c r="E42" s="10">
        <f>E52</f>
        <v>82316.205999999991</v>
      </c>
      <c r="F42" s="97">
        <f>E42/E$42</f>
        <v>1</v>
      </c>
      <c r="G42" s="140"/>
      <c r="J42" s="84"/>
      <c r="K42" s="84"/>
      <c r="L42" s="12"/>
      <c r="M42" s="12"/>
      <c r="N42" s="12"/>
      <c r="P42" s="216" t="s">
        <v>64</v>
      </c>
    </row>
    <row r="43" spans="1:16" ht="5" customHeight="1" x14ac:dyDescent="0.2">
      <c r="G43" s="141"/>
    </row>
    <row r="44" spans="1:16" ht="14.5" customHeight="1" x14ac:dyDescent="0.2">
      <c r="A44" s="186"/>
      <c r="D44" s="219" t="s">
        <v>65</v>
      </c>
      <c r="E44" s="131">
        <f>G44*$G$54</f>
        <v>11412</v>
      </c>
      <c r="F44" s="129" t="s">
        <v>50</v>
      </c>
      <c r="G44" s="142">
        <v>2</v>
      </c>
      <c r="H44" s="129" t="s">
        <v>50</v>
      </c>
      <c r="I44" s="132">
        <v>0.04</v>
      </c>
      <c r="J44" s="147">
        <f>J35</f>
        <v>6</v>
      </c>
      <c r="K44" s="129" t="str">
        <f>K35</f>
        <v xml:space="preserve">NA </v>
      </c>
      <c r="L44" s="130">
        <f>L35</f>
        <v>0.01</v>
      </c>
      <c r="M44" s="17"/>
      <c r="N44" s="17"/>
      <c r="P44" t="s">
        <v>51</v>
      </c>
    </row>
    <row r="45" spans="1:16" ht="5" customHeight="1" x14ac:dyDescent="0.2"/>
    <row r="46" spans="1:16" ht="18" x14ac:dyDescent="0.35">
      <c r="D46" s="72" t="s">
        <v>66</v>
      </c>
      <c r="E46" s="20" t="s">
        <v>41</v>
      </c>
      <c r="F46" s="20" t="s">
        <v>42</v>
      </c>
      <c r="J46" s="20"/>
      <c r="K46" s="217" t="s">
        <v>47</v>
      </c>
      <c r="L46" s="20" t="s">
        <v>67</v>
      </c>
      <c r="M46" s="20"/>
      <c r="N46" s="20"/>
    </row>
    <row r="47" spans="1:16" ht="14.5" customHeight="1" x14ac:dyDescent="0.2">
      <c r="D47" t="s">
        <v>68</v>
      </c>
      <c r="E47" s="6">
        <f>G24-E48</f>
        <v>75889.8</v>
      </c>
      <c r="F47" s="19">
        <f t="shared" ref="F47:F52" si="0">E47/E$52</f>
        <v>0.92193024542457669</v>
      </c>
      <c r="J47" s="76"/>
      <c r="K47" s="19"/>
    </row>
    <row r="48" spans="1:16" ht="14.5" customHeight="1" x14ac:dyDescent="0.2">
      <c r="D48" t="s">
        <v>58</v>
      </c>
      <c r="E48" s="6">
        <f>E40</f>
        <v>3994.2</v>
      </c>
      <c r="F48" s="19">
        <f t="shared" si="0"/>
        <v>4.8522644496030345E-2</v>
      </c>
      <c r="J48" s="76"/>
      <c r="K48" s="19"/>
    </row>
    <row r="49" spans="1:16" ht="14.5" customHeight="1" x14ac:dyDescent="0.2">
      <c r="A49" s="186"/>
      <c r="D49" s="211" t="s">
        <v>69</v>
      </c>
      <c r="E49" s="87">
        <v>1000</v>
      </c>
      <c r="F49" s="19">
        <f t="shared" si="0"/>
        <v>1.2148276124387949E-2</v>
      </c>
      <c r="J49" s="76"/>
      <c r="K49" s="19"/>
      <c r="P49" s="207" t="s">
        <v>70</v>
      </c>
    </row>
    <row r="50" spans="1:16" ht="14.5" customHeight="1" x14ac:dyDescent="0.2">
      <c r="A50" s="186"/>
      <c r="D50" t="s">
        <v>71</v>
      </c>
      <c r="E50" s="6">
        <f>L50</f>
        <v>798.84</v>
      </c>
      <c r="F50" s="19">
        <f t="shared" si="0"/>
        <v>9.7045288992060694E-3</v>
      </c>
      <c r="J50" s="76"/>
      <c r="K50" s="96">
        <v>0.01</v>
      </c>
      <c r="L50" s="6">
        <f>K50*G24</f>
        <v>798.84</v>
      </c>
      <c r="M50" s="6"/>
      <c r="N50" s="6"/>
      <c r="P50" t="s">
        <v>72</v>
      </c>
    </row>
    <row r="51" spans="1:16" ht="14.5" customHeight="1" x14ac:dyDescent="0.2">
      <c r="D51" t="s">
        <v>73</v>
      </c>
      <c r="E51" s="6">
        <f>L51</f>
        <v>633.36599999999999</v>
      </c>
      <c r="F51" s="19">
        <f t="shared" si="0"/>
        <v>7.6943050557990982E-3</v>
      </c>
      <c r="J51" s="76"/>
      <c r="K51" s="102">
        <f>L51/SUM(E44,E36:E38)</f>
        <v>9.1735537190082636E-3</v>
      </c>
      <c r="L51" s="126">
        <f>SUM(G218,G226,G234,G244)</f>
        <v>633.36599999999999</v>
      </c>
      <c r="M51" s="126"/>
      <c r="N51" s="126"/>
    </row>
    <row r="52" spans="1:16" s="9" customFormat="1" ht="14.5" customHeight="1" x14ac:dyDescent="0.2">
      <c r="D52" s="9" t="s">
        <v>74</v>
      </c>
      <c r="E52" s="10">
        <f>SUM(E47:E51)</f>
        <v>82316.205999999991</v>
      </c>
      <c r="F52" s="97">
        <f t="shared" si="0"/>
        <v>1</v>
      </c>
      <c r="J52" s="85"/>
      <c r="K52" s="84"/>
      <c r="L52" s="10">
        <f>SUM(L50:L51)</f>
        <v>1432.2060000000001</v>
      </c>
      <c r="M52" s="12"/>
      <c r="N52" s="12"/>
    </row>
    <row r="53" spans="1:16" ht="5" customHeight="1" x14ac:dyDescent="0.2"/>
    <row r="54" spans="1:16" ht="14.5" customHeight="1" x14ac:dyDescent="0.2">
      <c r="D54" s="128" t="s">
        <v>75</v>
      </c>
      <c r="E54" s="128"/>
      <c r="F54" s="128"/>
      <c r="G54" s="127">
        <f>G22</f>
        <v>5706</v>
      </c>
    </row>
    <row r="55" spans="1:16" ht="10.25" customHeight="1" x14ac:dyDescent="0.2">
      <c r="C55" s="6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</row>
    <row r="56" spans="1:16" ht="18" x14ac:dyDescent="0.35">
      <c r="A56" t="s">
        <v>15</v>
      </c>
      <c r="C56" s="108" t="s">
        <v>76</v>
      </c>
      <c r="D56" s="109"/>
      <c r="E56" s="109"/>
      <c r="F56" s="109"/>
      <c r="G56" s="109" t="s">
        <v>77</v>
      </c>
      <c r="H56" s="109" t="s">
        <v>78</v>
      </c>
      <c r="I56" s="109"/>
      <c r="J56" s="109"/>
      <c r="K56" s="109"/>
      <c r="L56" s="109"/>
      <c r="M56" s="109"/>
      <c r="N56" s="109"/>
      <c r="P56" s="109"/>
    </row>
    <row r="57" spans="1:16" ht="18" x14ac:dyDescent="0.35">
      <c r="C57" s="110" t="s">
        <v>79</v>
      </c>
      <c r="D57" s="111"/>
      <c r="E57" s="111"/>
      <c r="F57" s="111"/>
      <c r="G57" s="111" t="s">
        <v>80</v>
      </c>
      <c r="H57" s="111" t="s">
        <v>81</v>
      </c>
      <c r="I57" s="111" t="s">
        <v>82</v>
      </c>
      <c r="J57" s="111" t="s">
        <v>83</v>
      </c>
      <c r="K57" s="111" t="s">
        <v>84</v>
      </c>
      <c r="L57" s="111" t="s">
        <v>85</v>
      </c>
      <c r="M57" s="111" t="s">
        <v>86</v>
      </c>
      <c r="N57" s="111" t="s">
        <v>87</v>
      </c>
      <c r="P57" s="114" t="s">
        <v>17</v>
      </c>
    </row>
    <row r="58" spans="1:16" ht="5" customHeight="1" x14ac:dyDescent="0.2"/>
    <row r="59" spans="1:16" ht="14.5" customHeight="1" x14ac:dyDescent="0.2">
      <c r="C59" s="9" t="s">
        <v>88</v>
      </c>
      <c r="D59" s="181" t="s">
        <v>89</v>
      </c>
    </row>
    <row r="60" spans="1:16" ht="14.5" customHeight="1" x14ac:dyDescent="0.2">
      <c r="C60" s="79" t="s">
        <v>90</v>
      </c>
      <c r="D60" s="182">
        <f>G18</f>
        <v>1</v>
      </c>
      <c r="E60" s="17">
        <f>E99</f>
        <v>0.14926603991423382</v>
      </c>
      <c r="F60" s="17">
        <f>F99</f>
        <v>0.31615958668197464</v>
      </c>
      <c r="G60" s="17">
        <f>G99</f>
        <v>0.16308654090793451</v>
      </c>
      <c r="H60" s="165">
        <f t="shared" ref="H60:N60" ca="1" si="1">OFFSET(H60,$D$60,)</f>
        <v>0.157</v>
      </c>
      <c r="I60" s="165">
        <f t="shared" ca="1" si="1"/>
        <v>0.16900000000000001</v>
      </c>
      <c r="J60" s="165">
        <f t="shared" ca="1" si="1"/>
        <v>0.14599999999999999</v>
      </c>
      <c r="K60" s="165">
        <f t="shared" ca="1" si="1"/>
        <v>0.14599999999999999</v>
      </c>
      <c r="L60" s="165">
        <f t="shared" ca="1" si="1"/>
        <v>0.125</v>
      </c>
      <c r="M60" s="165">
        <f t="shared" ca="1" si="1"/>
        <v>0.125</v>
      </c>
      <c r="N60" s="165">
        <f t="shared" ca="1" si="1"/>
        <v>0.12</v>
      </c>
    </row>
    <row r="61" spans="1:16" ht="14.5" customHeight="1" x14ac:dyDescent="0.2">
      <c r="A61" s="186"/>
      <c r="C61" s="57" t="s">
        <v>91</v>
      </c>
      <c r="E61" s="15"/>
      <c r="F61" s="15"/>
      <c r="G61" s="15"/>
      <c r="H61" s="96">
        <v>0.157</v>
      </c>
      <c r="I61" s="96">
        <v>0.16900000000000001</v>
      </c>
      <c r="J61" s="96">
        <v>0.14599999999999999</v>
      </c>
      <c r="K61" s="96">
        <v>0.14599999999999999</v>
      </c>
      <c r="L61" s="96">
        <v>0.125</v>
      </c>
      <c r="M61" s="96">
        <v>0.125</v>
      </c>
      <c r="N61" s="96">
        <v>0.12</v>
      </c>
      <c r="P61" t="s">
        <v>92</v>
      </c>
    </row>
    <row r="62" spans="1:16" ht="14.5" customHeight="1" x14ac:dyDescent="0.2">
      <c r="A62" s="186"/>
      <c r="C62" s="57" t="s">
        <v>93</v>
      </c>
      <c r="E62" s="15"/>
      <c r="F62" s="15"/>
      <c r="G62" s="15"/>
      <c r="H62" s="96">
        <v>0.16300000000000001</v>
      </c>
      <c r="I62" s="96">
        <v>0.16300000000000001</v>
      </c>
      <c r="J62" s="96">
        <v>0.14899999999999999</v>
      </c>
      <c r="K62" s="96">
        <v>0.14899999999999999</v>
      </c>
      <c r="L62" s="96">
        <v>0.14899999999999999</v>
      </c>
      <c r="M62" s="96">
        <v>0.14899999999999999</v>
      </c>
      <c r="N62" s="96">
        <v>0.14899999999999999</v>
      </c>
      <c r="P62" t="s">
        <v>94</v>
      </c>
    </row>
    <row r="63" spans="1:16" ht="14.5" customHeight="1" x14ac:dyDescent="0.2">
      <c r="A63" s="186"/>
      <c r="C63" s="57" t="s">
        <v>95</v>
      </c>
      <c r="E63" s="15"/>
      <c r="F63" s="15"/>
      <c r="G63" s="15"/>
      <c r="H63" s="96">
        <v>0.14899999999999999</v>
      </c>
      <c r="I63" s="96">
        <v>0.14899999999999999</v>
      </c>
      <c r="J63" s="96">
        <v>0.14000000000000001</v>
      </c>
      <c r="K63" s="96">
        <v>0.12</v>
      </c>
      <c r="L63" s="96">
        <v>0.1</v>
      </c>
      <c r="M63" s="96">
        <v>0.08</v>
      </c>
      <c r="N63" s="96">
        <v>0.06</v>
      </c>
      <c r="P63" t="s">
        <v>96</v>
      </c>
    </row>
    <row r="64" spans="1:16" ht="5" customHeight="1" x14ac:dyDescent="0.2">
      <c r="C64" s="9"/>
      <c r="G64" s="83"/>
      <c r="H64" s="83"/>
      <c r="I64" s="83"/>
      <c r="J64" s="83"/>
      <c r="K64" s="83"/>
      <c r="L64" s="83"/>
      <c r="M64" s="83"/>
      <c r="N64" s="83"/>
    </row>
    <row r="65" spans="1:16" ht="14.5" customHeight="1" x14ac:dyDescent="0.2">
      <c r="C65" s="9" t="s">
        <v>97</v>
      </c>
      <c r="G65" s="83"/>
      <c r="H65" s="83"/>
      <c r="I65" s="83"/>
      <c r="J65" s="83"/>
      <c r="K65" s="83"/>
      <c r="L65" s="83"/>
      <c r="M65" s="83"/>
      <c r="N65" s="83"/>
    </row>
    <row r="66" spans="1:16" ht="14.5" customHeight="1" x14ac:dyDescent="0.2">
      <c r="C66" s="79" t="s">
        <v>90</v>
      </c>
      <c r="D66" s="17">
        <f>1-D102</f>
        <v>0.10962669745450548</v>
      </c>
      <c r="E66" s="17">
        <f>1-E102</f>
        <v>0.13557213930348255</v>
      </c>
      <c r="F66" s="17">
        <f>1-F102</f>
        <v>0.1423690618980118</v>
      </c>
      <c r="G66" s="17">
        <f>1-G102</f>
        <v>0.14565625000000004</v>
      </c>
      <c r="H66" s="165">
        <f t="shared" ref="H66:N66" ca="1" si="2">OFFSET(H66,$D$60,)</f>
        <v>0.14499999999999999</v>
      </c>
      <c r="I66" s="165">
        <f t="shared" ca="1" si="2"/>
        <v>0.14599999999999999</v>
      </c>
      <c r="J66" s="165">
        <f t="shared" ca="1" si="2"/>
        <v>0.14499999999999999</v>
      </c>
      <c r="K66" s="165">
        <f t="shared" ca="1" si="2"/>
        <v>0.14499999999999999</v>
      </c>
      <c r="L66" s="165">
        <f t="shared" ca="1" si="2"/>
        <v>0.14499999999999999</v>
      </c>
      <c r="M66" s="165">
        <f t="shared" ca="1" si="2"/>
        <v>0.14499999999999999</v>
      </c>
      <c r="N66" s="165">
        <f t="shared" ca="1" si="2"/>
        <v>0.14499999999999999</v>
      </c>
    </row>
    <row r="67" spans="1:16" ht="14.5" customHeight="1" x14ac:dyDescent="0.2">
      <c r="A67" s="186"/>
      <c r="C67" s="57" t="s">
        <v>91</v>
      </c>
      <c r="G67" s="208"/>
      <c r="H67" s="96">
        <v>0.14499999999999999</v>
      </c>
      <c r="I67" s="96">
        <v>0.14599999999999999</v>
      </c>
      <c r="J67" s="96">
        <v>0.14499999999999999</v>
      </c>
      <c r="K67" s="96">
        <v>0.14499999999999999</v>
      </c>
      <c r="L67" s="96">
        <v>0.14499999999999999</v>
      </c>
      <c r="M67" s="96">
        <v>0.14499999999999999</v>
      </c>
      <c r="N67" s="96">
        <v>0.14499999999999999</v>
      </c>
      <c r="P67" s="207" t="s">
        <v>98</v>
      </c>
    </row>
    <row r="68" spans="1:16" ht="14.5" customHeight="1" x14ac:dyDescent="0.2">
      <c r="A68" s="186"/>
      <c r="C68" s="57" t="s">
        <v>93</v>
      </c>
      <c r="H68" s="96">
        <v>0.13300000000000001</v>
      </c>
      <c r="I68" s="96">
        <v>0.13300000000000001</v>
      </c>
      <c r="J68" s="96">
        <v>0.13300000000000001</v>
      </c>
      <c r="K68" s="96">
        <v>0.13300000000000001</v>
      </c>
      <c r="L68" s="96">
        <v>0.13300000000000001</v>
      </c>
      <c r="M68" s="96">
        <v>0.13300000000000001</v>
      </c>
      <c r="N68" s="96">
        <v>0.13300000000000001</v>
      </c>
      <c r="P68" s="207" t="s">
        <v>99</v>
      </c>
    </row>
    <row r="69" spans="1:16" ht="14.5" customHeight="1" x14ac:dyDescent="0.2">
      <c r="A69" s="186"/>
      <c r="C69" s="57" t="s">
        <v>95</v>
      </c>
      <c r="H69" s="96">
        <f>G66*(1+0.0733)</f>
        <v>0.15633285312500003</v>
      </c>
      <c r="I69" s="96">
        <f>H69*(1+0.0733)</f>
        <v>0.16779205125906252</v>
      </c>
      <c r="J69" s="96">
        <f t="shared" ref="J69:N69" si="3">I69*(1+0.0733)</f>
        <v>0.18009120861635178</v>
      </c>
      <c r="K69" s="96">
        <f t="shared" si="3"/>
        <v>0.19329189420793036</v>
      </c>
      <c r="L69" s="96">
        <f t="shared" si="3"/>
        <v>0.20746019005337163</v>
      </c>
      <c r="M69" s="96">
        <f t="shared" si="3"/>
        <v>0.22266702198428376</v>
      </c>
      <c r="N69" s="96">
        <f t="shared" si="3"/>
        <v>0.23898851469573174</v>
      </c>
      <c r="P69" s="207" t="s">
        <v>100</v>
      </c>
    </row>
    <row r="70" spans="1:16" ht="5" customHeight="1" x14ac:dyDescent="0.2">
      <c r="G70" s="83"/>
      <c r="H70" s="83"/>
      <c r="I70" s="83"/>
      <c r="J70" s="83"/>
      <c r="K70" s="83"/>
      <c r="L70" s="83"/>
      <c r="M70" s="83"/>
      <c r="N70" s="83"/>
    </row>
    <row r="71" spans="1:16" ht="14.5" customHeight="1" x14ac:dyDescent="0.2">
      <c r="C71" s="9" t="s">
        <v>101</v>
      </c>
      <c r="G71" s="83"/>
      <c r="H71" s="83"/>
      <c r="I71" s="83"/>
      <c r="J71" s="83"/>
      <c r="K71" s="83"/>
      <c r="L71" s="83"/>
      <c r="M71" s="83"/>
      <c r="N71" s="83"/>
    </row>
    <row r="72" spans="1:16" ht="14.5" customHeight="1" x14ac:dyDescent="0.2">
      <c r="C72" s="79" t="s">
        <v>90</v>
      </c>
      <c r="D72" s="17">
        <f>D103/D98</f>
        <v>0.29847710154488977</v>
      </c>
      <c r="E72" s="17">
        <f>E103/E98</f>
        <v>0.31357634902411025</v>
      </c>
      <c r="F72" s="17">
        <f>F103/F98</f>
        <v>0.31479664158761311</v>
      </c>
      <c r="G72" s="17">
        <f>G103/G98</f>
        <v>0.31553124999999999</v>
      </c>
      <c r="H72" s="165">
        <f ca="1">OFFSET(H72,$D$60,)</f>
        <v>0.315</v>
      </c>
      <c r="I72" s="165">
        <f t="shared" ref="I72:N72" ca="1" si="4">OFFSET(I72,$D$60,)</f>
        <v>0.317</v>
      </c>
      <c r="J72" s="165">
        <f t="shared" ca="1" si="4"/>
        <v>0.31900000000000001</v>
      </c>
      <c r="K72" s="165">
        <f t="shared" ca="1" si="4"/>
        <v>0.32100000000000001</v>
      </c>
      <c r="L72" s="165">
        <f t="shared" ca="1" si="4"/>
        <v>0.32300000000000001</v>
      </c>
      <c r="M72" s="165">
        <f t="shared" ca="1" si="4"/>
        <v>0.32300000000000001</v>
      </c>
      <c r="N72" s="165">
        <f t="shared" ca="1" si="4"/>
        <v>0.32300000000000001</v>
      </c>
    </row>
    <row r="73" spans="1:16" ht="14.5" customHeight="1" x14ac:dyDescent="0.2">
      <c r="A73" s="186"/>
      <c r="C73" s="57" t="s">
        <v>91</v>
      </c>
      <c r="H73" s="96">
        <v>0.315</v>
      </c>
      <c r="I73" s="96">
        <v>0.317</v>
      </c>
      <c r="J73" s="96">
        <v>0.31900000000000001</v>
      </c>
      <c r="K73" s="96">
        <v>0.32100000000000001</v>
      </c>
      <c r="L73" s="96">
        <v>0.32300000000000001</v>
      </c>
      <c r="M73" s="96">
        <f t="shared" ref="M73:N73" si="5">L73</f>
        <v>0.32300000000000001</v>
      </c>
      <c r="N73" s="96">
        <f t="shared" si="5"/>
        <v>0.32300000000000001</v>
      </c>
      <c r="P73" s="207" t="s">
        <v>102</v>
      </c>
    </row>
    <row r="74" spans="1:16" ht="14.5" customHeight="1" x14ac:dyDescent="0.2">
      <c r="A74" s="186"/>
      <c r="C74" s="57" t="s">
        <v>93</v>
      </c>
      <c r="H74" s="96">
        <v>0.315</v>
      </c>
      <c r="I74" s="96">
        <f>H74-0.005</f>
        <v>0.31</v>
      </c>
      <c r="J74" s="96">
        <f t="shared" ref="J74:N74" si="6">I74-0.005</f>
        <v>0.30499999999999999</v>
      </c>
      <c r="K74" s="96">
        <f t="shared" si="6"/>
        <v>0.3</v>
      </c>
      <c r="L74" s="96">
        <f t="shared" si="6"/>
        <v>0.29499999999999998</v>
      </c>
      <c r="M74" s="96">
        <f t="shared" si="6"/>
        <v>0.28999999999999998</v>
      </c>
      <c r="N74" s="96">
        <f t="shared" si="6"/>
        <v>0.28499999999999998</v>
      </c>
      <c r="P74" s="207" t="s">
        <v>103</v>
      </c>
    </row>
    <row r="75" spans="1:16" ht="14.5" customHeight="1" x14ac:dyDescent="0.2">
      <c r="A75" s="186"/>
      <c r="C75" s="57" t="s">
        <v>95</v>
      </c>
      <c r="H75" s="96">
        <f>G72*1.0148</f>
        <v>0.32020111249999994</v>
      </c>
      <c r="I75" s="96">
        <f>H75*1.0148</f>
        <v>0.32494008896499993</v>
      </c>
      <c r="J75" s="96">
        <f t="shared" ref="J75:N75" si="7">I75*1.0148</f>
        <v>0.32974920228168192</v>
      </c>
      <c r="K75" s="96">
        <f t="shared" si="7"/>
        <v>0.33462949047545076</v>
      </c>
      <c r="L75" s="96">
        <f t="shared" si="7"/>
        <v>0.33958200693448742</v>
      </c>
      <c r="M75" s="96">
        <f t="shared" si="7"/>
        <v>0.34460782063711781</v>
      </c>
      <c r="N75" s="96">
        <f t="shared" si="7"/>
        <v>0.34970801638254712</v>
      </c>
      <c r="P75" s="207" t="s">
        <v>104</v>
      </c>
    </row>
    <row r="76" spans="1:16" ht="5" customHeight="1" x14ac:dyDescent="0.2">
      <c r="G76" s="83"/>
      <c r="H76" s="83"/>
      <c r="I76" s="83"/>
      <c r="J76" s="83"/>
      <c r="K76" s="83"/>
      <c r="L76" s="83"/>
      <c r="M76" s="83"/>
      <c r="N76" s="83"/>
    </row>
    <row r="77" spans="1:16" ht="14.5" customHeight="1" x14ac:dyDescent="0.2">
      <c r="C77" s="9" t="s">
        <v>105</v>
      </c>
      <c r="G77" s="83"/>
      <c r="H77" s="83"/>
      <c r="I77" s="83"/>
      <c r="J77" s="83"/>
      <c r="K77" s="83"/>
      <c r="L77" s="83"/>
      <c r="M77" s="83"/>
      <c r="N77" s="83"/>
    </row>
    <row r="78" spans="1:16" ht="14.5" customHeight="1" x14ac:dyDescent="0.2">
      <c r="C78" s="79" t="s">
        <v>90</v>
      </c>
      <c r="D78" s="17">
        <f>D106/D98</f>
        <v>0.44895266369783937</v>
      </c>
      <c r="E78" s="17">
        <f>E106/E98</f>
        <v>0.36227516264829696</v>
      </c>
      <c r="F78" s="17">
        <f>F106/F98</f>
        <v>0.34932577327081743</v>
      </c>
      <c r="G78" s="17">
        <f>G106/G98</f>
        <v>0.36049999999999999</v>
      </c>
      <c r="H78" s="165">
        <f t="shared" ref="H78:N78" ca="1" si="8">OFFSET(H78,$D$60,)</f>
        <v>0.35299999999999998</v>
      </c>
      <c r="I78" s="165">
        <f t="shared" ca="1" si="8"/>
        <v>0.33800000000000002</v>
      </c>
      <c r="J78" s="165">
        <f t="shared" ca="1" si="8"/>
        <v>0.32700000000000001</v>
      </c>
      <c r="K78" s="165">
        <f t="shared" ca="1" si="8"/>
        <v>0.317</v>
      </c>
      <c r="L78" s="165">
        <f t="shared" ca="1" si="8"/>
        <v>0.311</v>
      </c>
      <c r="M78" s="165">
        <f t="shared" ca="1" si="8"/>
        <v>0.311</v>
      </c>
      <c r="N78" s="165">
        <f t="shared" ca="1" si="8"/>
        <v>0.311</v>
      </c>
    </row>
    <row r="79" spans="1:16" ht="14.5" customHeight="1" x14ac:dyDescent="0.2">
      <c r="A79" s="186"/>
      <c r="C79" s="57" t="s">
        <v>91</v>
      </c>
      <c r="D79" s="15"/>
      <c r="E79" s="15"/>
      <c r="F79" s="15"/>
      <c r="G79" s="15"/>
      <c r="H79" s="96">
        <v>0.35299999999999998</v>
      </c>
      <c r="I79" s="96">
        <v>0.33800000000000002</v>
      </c>
      <c r="J79" s="96">
        <v>0.32700000000000001</v>
      </c>
      <c r="K79" s="96">
        <v>0.317</v>
      </c>
      <c r="L79" s="96">
        <v>0.311</v>
      </c>
      <c r="M79" s="96">
        <f>L79</f>
        <v>0.311</v>
      </c>
      <c r="N79" s="96">
        <f>M79</f>
        <v>0.311</v>
      </c>
      <c r="P79" s="207" t="s">
        <v>102</v>
      </c>
    </row>
    <row r="80" spans="1:16" ht="14.5" customHeight="1" x14ac:dyDescent="0.2">
      <c r="A80" s="186"/>
      <c r="C80" s="57" t="s">
        <v>93</v>
      </c>
      <c r="D80" s="15"/>
      <c r="E80" s="15"/>
      <c r="F80" s="15"/>
      <c r="G80" s="15"/>
      <c r="H80" s="96">
        <f>G78*(1-0.0531)</f>
        <v>0.34135744999999995</v>
      </c>
      <c r="I80" s="96">
        <f>H80*(1-0.0531)</f>
        <v>0.32323136940499997</v>
      </c>
      <c r="J80" s="96">
        <f t="shared" ref="J80:N80" si="9">I80*(1-0.0531)</f>
        <v>0.30606778368959447</v>
      </c>
      <c r="K80" s="96">
        <f t="shared" si="9"/>
        <v>0.289815584375677</v>
      </c>
      <c r="L80" s="96">
        <f t="shared" si="9"/>
        <v>0.27442637684532856</v>
      </c>
      <c r="M80" s="96">
        <f t="shared" si="9"/>
        <v>0.25985433623484161</v>
      </c>
      <c r="N80" s="96">
        <f t="shared" si="9"/>
        <v>0.24605607098077151</v>
      </c>
      <c r="P80" s="207" t="s">
        <v>106</v>
      </c>
    </row>
    <row r="81" spans="1:16" ht="14.5" customHeight="1" x14ac:dyDescent="0.2">
      <c r="A81" s="186"/>
      <c r="C81" s="57" t="s">
        <v>95</v>
      </c>
      <c r="D81" s="15"/>
      <c r="E81" s="15"/>
      <c r="F81" s="15"/>
      <c r="G81" s="15"/>
      <c r="H81" s="96">
        <v>0.38</v>
      </c>
      <c r="I81" s="96">
        <v>0.38</v>
      </c>
      <c r="J81" s="96">
        <v>0.38</v>
      </c>
      <c r="K81" s="96">
        <v>0.38</v>
      </c>
      <c r="L81" s="96">
        <v>0.38</v>
      </c>
      <c r="M81" s="96">
        <v>0.38</v>
      </c>
      <c r="N81" s="96">
        <v>0.38</v>
      </c>
      <c r="P81" s="207" t="s">
        <v>107</v>
      </c>
    </row>
    <row r="82" spans="1:16" ht="5" customHeight="1" x14ac:dyDescent="0.2"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</row>
    <row r="83" spans="1:16" ht="14.5" customHeight="1" x14ac:dyDescent="0.2">
      <c r="C83" s="210" t="s">
        <v>108</v>
      </c>
      <c r="D83" s="15"/>
      <c r="E83" s="15"/>
      <c r="F83" s="15"/>
      <c r="G83" s="15"/>
      <c r="H83" s="167"/>
      <c r="I83" s="167"/>
      <c r="J83" s="167"/>
      <c r="K83" s="167"/>
      <c r="L83" s="167"/>
      <c r="M83" s="167"/>
      <c r="N83" s="167"/>
    </row>
    <row r="84" spans="1:16" ht="14.5" customHeight="1" x14ac:dyDescent="0.2">
      <c r="C84" s="79" t="s">
        <v>90</v>
      </c>
      <c r="D84" s="206"/>
      <c r="E84" s="206"/>
      <c r="F84" s="206"/>
      <c r="G84" s="206"/>
      <c r="H84" s="165">
        <f t="shared" ref="H84:N84" ca="1" si="10">OFFSET(H84,$D$60,)</f>
        <v>4.0500000000000001E-2</v>
      </c>
      <c r="I84" s="165">
        <f t="shared" ca="1" si="10"/>
        <v>3.2300000000000002E-2</v>
      </c>
      <c r="J84" s="165">
        <f t="shared" ca="1" si="10"/>
        <v>2.8199999999999999E-2</v>
      </c>
      <c r="K84" s="165">
        <f t="shared" ca="1" si="10"/>
        <v>2.29E-2</v>
      </c>
      <c r="L84" s="165">
        <f t="shared" ca="1" si="10"/>
        <v>2.3E-2</v>
      </c>
      <c r="M84" s="165">
        <f t="shared" ca="1" si="10"/>
        <v>2.3E-2</v>
      </c>
      <c r="N84" s="165">
        <f t="shared" ca="1" si="10"/>
        <v>2.3E-2</v>
      </c>
    </row>
    <row r="85" spans="1:16" ht="14.5" customHeight="1" x14ac:dyDescent="0.2">
      <c r="A85" s="186"/>
      <c r="C85" s="57" t="s">
        <v>91</v>
      </c>
      <c r="H85" s="96">
        <v>4.0500000000000001E-2</v>
      </c>
      <c r="I85" s="96">
        <v>3.2300000000000002E-2</v>
      </c>
      <c r="J85" s="96">
        <v>2.8199999999999999E-2</v>
      </c>
      <c r="K85" s="96">
        <v>2.29E-2</v>
      </c>
      <c r="L85" s="96">
        <v>2.3E-2</v>
      </c>
      <c r="M85" s="96">
        <v>2.3E-2</v>
      </c>
      <c r="N85" s="96">
        <v>2.3E-2</v>
      </c>
      <c r="P85" s="207"/>
    </row>
    <row r="86" spans="1:16" ht="14.5" customHeight="1" x14ac:dyDescent="0.2">
      <c r="A86" s="186"/>
      <c r="C86" s="57" t="s">
        <v>93</v>
      </c>
      <c r="H86" s="96">
        <v>4.0500000000000001E-2</v>
      </c>
      <c r="I86" s="96">
        <v>3.2000000000000001E-2</v>
      </c>
      <c r="J86" s="96">
        <v>2.8000000000000001E-2</v>
      </c>
      <c r="K86" s="96">
        <v>2.3E-2</v>
      </c>
      <c r="L86" s="96">
        <v>1.9E-2</v>
      </c>
      <c r="M86" s="96">
        <v>1.4999999999999999E-2</v>
      </c>
      <c r="N86" s="96">
        <v>0.01</v>
      </c>
      <c r="P86" s="207" t="s">
        <v>432</v>
      </c>
    </row>
    <row r="87" spans="1:16" ht="14.5" customHeight="1" x14ac:dyDescent="0.2">
      <c r="A87" s="186"/>
      <c r="C87" s="57" t="s">
        <v>95</v>
      </c>
      <c r="H87" s="96">
        <v>9.1999999999999998E-2</v>
      </c>
      <c r="I87" s="96">
        <v>9.1999999999999998E-2</v>
      </c>
      <c r="J87" s="96">
        <v>9.1999999999999998E-2</v>
      </c>
      <c r="K87" s="96">
        <v>9.1999999999999998E-2</v>
      </c>
      <c r="L87" s="96">
        <v>9.1999999999999998E-2</v>
      </c>
      <c r="M87" s="96">
        <v>9.1999999999999998E-2</v>
      </c>
      <c r="N87" s="96">
        <v>9.1999999999999998E-2</v>
      </c>
      <c r="P87" s="207"/>
    </row>
    <row r="88" spans="1:16" ht="5" customHeight="1" x14ac:dyDescent="0.2">
      <c r="G88" s="83"/>
      <c r="H88" s="83"/>
      <c r="I88" s="83"/>
      <c r="J88" s="83"/>
      <c r="K88" s="83"/>
      <c r="L88" s="83"/>
      <c r="M88" s="83"/>
      <c r="N88" s="83"/>
    </row>
    <row r="89" spans="1:16" ht="14.5" customHeight="1" x14ac:dyDescent="0.2">
      <c r="C89" s="9" t="s">
        <v>109</v>
      </c>
      <c r="G89" s="83"/>
      <c r="H89" s="83"/>
      <c r="I89" s="83"/>
      <c r="J89" s="83"/>
      <c r="K89" s="83"/>
      <c r="L89" s="83"/>
      <c r="M89" s="83"/>
      <c r="N89" s="83"/>
    </row>
    <row r="90" spans="1:16" ht="14.5" customHeight="1" x14ac:dyDescent="0.2">
      <c r="C90" s="33" t="s">
        <v>90</v>
      </c>
      <c r="D90" s="209">
        <v>9.35E-2</v>
      </c>
      <c r="E90" s="209">
        <v>0.16259999999999999</v>
      </c>
      <c r="F90" s="209">
        <v>6.1800000000000001E-2</v>
      </c>
      <c r="G90" s="209">
        <v>0.05</v>
      </c>
      <c r="H90" s="165">
        <f t="shared" ref="H90:N90" ca="1" si="11">OFFSET(H90,$D$60,)</f>
        <v>4.0500000000000001E-2</v>
      </c>
      <c r="I90" s="165">
        <f t="shared" ca="1" si="11"/>
        <v>3.2300000000000002E-2</v>
      </c>
      <c r="J90" s="165">
        <f t="shared" ca="1" si="11"/>
        <v>2.8199999999999999E-2</v>
      </c>
      <c r="K90" s="165">
        <f t="shared" ca="1" si="11"/>
        <v>2.29E-2</v>
      </c>
      <c r="L90" s="165">
        <f t="shared" ca="1" si="11"/>
        <v>2.3E-2</v>
      </c>
      <c r="M90" s="165">
        <f t="shared" ca="1" si="11"/>
        <v>2.3E-2</v>
      </c>
      <c r="N90" s="165">
        <f t="shared" ca="1" si="11"/>
        <v>2.3E-2</v>
      </c>
    </row>
    <row r="91" spans="1:16" ht="14.5" customHeight="1" x14ac:dyDescent="0.2">
      <c r="A91" s="186"/>
      <c r="C91" t="s">
        <v>91</v>
      </c>
      <c r="H91" s="96">
        <v>4.0500000000000001E-2</v>
      </c>
      <c r="I91" s="96">
        <v>3.2300000000000002E-2</v>
      </c>
      <c r="J91" s="96">
        <v>2.8199999999999999E-2</v>
      </c>
      <c r="K91" s="96">
        <v>2.29E-2</v>
      </c>
      <c r="L91" s="96">
        <v>2.3E-2</v>
      </c>
      <c r="M91" s="96">
        <v>2.3E-2</v>
      </c>
      <c r="N91" s="96">
        <v>2.3E-2</v>
      </c>
      <c r="P91" s="207" t="s">
        <v>110</v>
      </c>
    </row>
    <row r="92" spans="1:16" ht="14.5" customHeight="1" x14ac:dyDescent="0.2">
      <c r="A92" s="186"/>
      <c r="C92" t="s">
        <v>93</v>
      </c>
      <c r="H92" s="96">
        <v>4.0500000000000001E-2</v>
      </c>
      <c r="I92" s="96">
        <v>3.2000000000000001E-2</v>
      </c>
      <c r="J92" s="96">
        <v>2.8000000000000001E-2</v>
      </c>
      <c r="K92" s="96">
        <v>2.3E-2</v>
      </c>
      <c r="L92" s="96">
        <v>1.9E-2</v>
      </c>
      <c r="M92" s="96">
        <v>1.4999999999999999E-2</v>
      </c>
      <c r="N92" s="96">
        <v>0.01</v>
      </c>
      <c r="P92" s="207" t="s">
        <v>111</v>
      </c>
    </row>
    <row r="93" spans="1:16" ht="14.5" customHeight="1" x14ac:dyDescent="0.2">
      <c r="A93" s="186"/>
      <c r="C93" t="s">
        <v>95</v>
      </c>
      <c r="H93" s="96">
        <v>9.1999999999999998E-2</v>
      </c>
      <c r="I93" s="96">
        <v>9.1999999999999998E-2</v>
      </c>
      <c r="J93" s="96">
        <v>9.1999999999999998E-2</v>
      </c>
      <c r="K93" s="96">
        <v>9.1999999999999998E-2</v>
      </c>
      <c r="L93" s="96">
        <v>9.1999999999999998E-2</v>
      </c>
      <c r="M93" s="96">
        <v>9.1999999999999998E-2</v>
      </c>
      <c r="N93" s="96">
        <v>9.1999999999999998E-2</v>
      </c>
      <c r="P93" s="207" t="s">
        <v>112</v>
      </c>
    </row>
    <row r="94" spans="1:16" ht="10.25" customHeight="1" x14ac:dyDescent="0.2"/>
    <row r="95" spans="1:16" ht="16.5" customHeight="1" x14ac:dyDescent="0.35">
      <c r="A95" t="s">
        <v>15</v>
      </c>
      <c r="C95" s="118" t="s">
        <v>113</v>
      </c>
      <c r="D95" s="119" t="s">
        <v>114</v>
      </c>
      <c r="E95" s="119"/>
      <c r="F95" s="119"/>
      <c r="G95" s="119" t="s">
        <v>77</v>
      </c>
      <c r="H95" s="119" t="s">
        <v>78</v>
      </c>
      <c r="I95" s="119"/>
      <c r="J95" s="119"/>
      <c r="K95" s="119"/>
      <c r="L95" s="119"/>
      <c r="M95" s="119"/>
      <c r="N95" s="119"/>
      <c r="P95" s="119"/>
    </row>
    <row r="96" spans="1:16" ht="18" x14ac:dyDescent="0.35">
      <c r="C96" s="120" t="s">
        <v>79</v>
      </c>
      <c r="D96" s="121" t="s">
        <v>115</v>
      </c>
      <c r="E96" s="121" t="s">
        <v>116</v>
      </c>
      <c r="F96" s="121" t="s">
        <v>117</v>
      </c>
      <c r="G96" s="121" t="s">
        <v>80</v>
      </c>
      <c r="H96" s="121" t="s">
        <v>81</v>
      </c>
      <c r="I96" s="121" t="s">
        <v>82</v>
      </c>
      <c r="J96" s="121" t="s">
        <v>83</v>
      </c>
      <c r="K96" s="121" t="s">
        <v>84</v>
      </c>
      <c r="L96" s="121" t="s">
        <v>85</v>
      </c>
      <c r="M96" s="121" t="s">
        <v>86</v>
      </c>
      <c r="N96" s="121" t="s">
        <v>87</v>
      </c>
      <c r="P96" s="117" t="s">
        <v>17</v>
      </c>
    </row>
    <row r="97" spans="3:14" ht="5" customHeight="1" x14ac:dyDescent="0.2"/>
    <row r="98" spans="3:14" ht="14.5" customHeight="1" x14ac:dyDescent="0.2">
      <c r="C98" s="9" t="s">
        <v>118</v>
      </c>
      <c r="D98" s="150">
        <f>'Income Statement'!C5</f>
        <v>18189</v>
      </c>
      <c r="E98" s="150">
        <f>'Income Statement'!D5</f>
        <v>20904</v>
      </c>
      <c r="F98" s="150">
        <f>'Income Statement'!E5</f>
        <v>27513</v>
      </c>
      <c r="G98" s="150">
        <f>'Income Statement'!G5</f>
        <v>32000</v>
      </c>
      <c r="H98" s="12">
        <f ca="1">G98*(1+H99)</f>
        <v>37024</v>
      </c>
      <c r="I98" s="12">
        <f t="shared" ref="I98:L98" ca="1" si="12">H98*(1+I99)</f>
        <v>43281.056000000004</v>
      </c>
      <c r="J98" s="12">
        <f t="shared" ca="1" si="12"/>
        <v>49600.090175999998</v>
      </c>
      <c r="K98" s="12">
        <f t="shared" ca="1" si="12"/>
        <v>56841.703341695989</v>
      </c>
      <c r="L98" s="12">
        <f t="shared" ca="1" si="12"/>
        <v>63946.91625940799</v>
      </c>
      <c r="M98" s="12">
        <f t="shared" ref="M98" ca="1" si="13">L98*(1+M99)</f>
        <v>71940.280791833982</v>
      </c>
      <c r="N98" s="12">
        <f t="shared" ref="N98" ca="1" si="14">M98*(1+N99)</f>
        <v>80573.114486854072</v>
      </c>
    </row>
    <row r="99" spans="3:14" x14ac:dyDescent="0.2">
      <c r="C99" s="69" t="s">
        <v>119</v>
      </c>
      <c r="D99" s="29" t="s">
        <v>50</v>
      </c>
      <c r="E99" s="29">
        <f>IFERROR(E98/D98-1,"NM ")</f>
        <v>0.14926603991423382</v>
      </c>
      <c r="F99" s="29">
        <f t="shared" ref="F99:G99" si="15">IFERROR(F98/E98-1,"NM ")</f>
        <v>0.31615958668197464</v>
      </c>
      <c r="G99" s="29">
        <f t="shared" si="15"/>
        <v>0.16308654090793451</v>
      </c>
      <c r="H99" s="29">
        <f t="shared" ref="H99:N99" ca="1" si="16">H60</f>
        <v>0.157</v>
      </c>
      <c r="I99" s="29">
        <f t="shared" ca="1" si="16"/>
        <v>0.16900000000000001</v>
      </c>
      <c r="J99" s="29">
        <f t="shared" ca="1" si="16"/>
        <v>0.14599999999999999</v>
      </c>
      <c r="K99" s="29">
        <f t="shared" ca="1" si="16"/>
        <v>0.14599999999999999</v>
      </c>
      <c r="L99" s="29">
        <f t="shared" ca="1" si="16"/>
        <v>0.125</v>
      </c>
      <c r="M99" s="29">
        <f t="shared" ca="1" si="16"/>
        <v>0.125</v>
      </c>
      <c r="N99" s="29">
        <f t="shared" ca="1" si="16"/>
        <v>0.12</v>
      </c>
    </row>
    <row r="100" spans="3:14" x14ac:dyDescent="0.2">
      <c r="C100" t="s">
        <v>120</v>
      </c>
      <c r="D100" s="73">
        <f>'Income Statement'!C8</f>
        <v>1994</v>
      </c>
      <c r="E100" s="73">
        <f>'Income Statement'!D8</f>
        <v>2834</v>
      </c>
      <c r="F100" s="73">
        <f>'Income Statement'!E8</f>
        <v>3917</v>
      </c>
      <c r="G100" s="73">
        <f>'Income Statement'!G8</f>
        <v>4661</v>
      </c>
      <c r="H100" s="6">
        <f t="shared" ref="H100:N100" ca="1" si="17">H98*H68</f>
        <v>4924.192</v>
      </c>
      <c r="I100" s="6">
        <f t="shared" ca="1" si="17"/>
        <v>5756.3804480000008</v>
      </c>
      <c r="J100" s="6">
        <f t="shared" ca="1" si="17"/>
        <v>6596.8119934080005</v>
      </c>
      <c r="K100" s="6">
        <f t="shared" ca="1" si="17"/>
        <v>7559.9465444455673</v>
      </c>
      <c r="L100" s="6">
        <f t="shared" ca="1" si="17"/>
        <v>8504.9398625012636</v>
      </c>
      <c r="M100" s="6">
        <f t="shared" ca="1" si="17"/>
        <v>9568.0573453139205</v>
      </c>
      <c r="N100" s="6">
        <f t="shared" ca="1" si="17"/>
        <v>10716.224226751592</v>
      </c>
    </row>
    <row r="101" spans="3:14" x14ac:dyDescent="0.2">
      <c r="C101" t="s">
        <v>121</v>
      </c>
      <c r="D101" s="8">
        <f>D98-D100</f>
        <v>16195</v>
      </c>
      <c r="E101" s="8">
        <f t="shared" ref="E101:L101" si="18">E98-E100</f>
        <v>18070</v>
      </c>
      <c r="F101" s="8">
        <f t="shared" si="18"/>
        <v>23596</v>
      </c>
      <c r="G101" s="8">
        <f t="shared" si="18"/>
        <v>27339</v>
      </c>
      <c r="H101" s="8">
        <f t="shared" ca="1" si="18"/>
        <v>32099.808000000001</v>
      </c>
      <c r="I101" s="8">
        <f t="shared" ca="1" si="18"/>
        <v>37524.675552000001</v>
      </c>
      <c r="J101" s="8">
        <f t="shared" ca="1" si="18"/>
        <v>43003.278182591996</v>
      </c>
      <c r="K101" s="8">
        <f t="shared" ca="1" si="18"/>
        <v>49281.756797250418</v>
      </c>
      <c r="L101" s="8">
        <f t="shared" ca="1" si="18"/>
        <v>55441.976396906728</v>
      </c>
      <c r="M101" s="8">
        <f t="shared" ref="M101:N101" ca="1" si="19">M98-M100</f>
        <v>62372.22344652006</v>
      </c>
      <c r="N101" s="8">
        <f t="shared" ca="1" si="19"/>
        <v>69856.890260102475</v>
      </c>
    </row>
    <row r="102" spans="3:14" x14ac:dyDescent="0.2">
      <c r="C102" s="69" t="s">
        <v>122</v>
      </c>
      <c r="D102" s="29">
        <f>IFERROR(D101/D$98,"NM ")</f>
        <v>0.89037330254549452</v>
      </c>
      <c r="E102" s="29">
        <f t="shared" ref="E102:L102" si="20">IFERROR(E101/E$98,"NM ")</f>
        <v>0.86442786069651745</v>
      </c>
      <c r="F102" s="29">
        <f t="shared" si="20"/>
        <v>0.8576309381019882</v>
      </c>
      <c r="G102" s="29">
        <f t="shared" si="20"/>
        <v>0.85434374999999996</v>
      </c>
      <c r="H102" s="29">
        <f t="shared" ca="1" si="20"/>
        <v>0.86699999999999999</v>
      </c>
      <c r="I102" s="29">
        <f t="shared" ca="1" si="20"/>
        <v>0.86699999999999988</v>
      </c>
      <c r="J102" s="29">
        <f t="shared" ca="1" si="20"/>
        <v>0.86699999999999999</v>
      </c>
      <c r="K102" s="29">
        <f t="shared" ca="1" si="20"/>
        <v>0.86699999999999988</v>
      </c>
      <c r="L102" s="29">
        <f t="shared" ca="1" si="20"/>
        <v>0.86699999999999999</v>
      </c>
      <c r="M102" s="29">
        <f t="shared" ref="M102:N102" ca="1" si="21">IFERROR(M101/M$98,"NM ")</f>
        <v>0.86699999999999999</v>
      </c>
      <c r="N102" s="29">
        <f t="shared" ca="1" si="21"/>
        <v>0.86699999999999988</v>
      </c>
    </row>
    <row r="103" spans="3:14" x14ac:dyDescent="0.2">
      <c r="C103" t="s">
        <v>123</v>
      </c>
      <c r="D103" s="73">
        <f>'Income Statement'!C12</f>
        <v>5429</v>
      </c>
      <c r="E103" s="73">
        <f>'Income Statement'!D12</f>
        <v>6555</v>
      </c>
      <c r="F103" s="73">
        <f>'Income Statement'!E12</f>
        <v>8661</v>
      </c>
      <c r="G103" s="73">
        <f>'Income Statement'!G12</f>
        <v>10097</v>
      </c>
      <c r="H103" s="6">
        <f t="shared" ref="H103:N103" ca="1" si="22">H98*H72</f>
        <v>11662.56</v>
      </c>
      <c r="I103" s="6">
        <f t="shared" ca="1" si="22"/>
        <v>13720.094752000001</v>
      </c>
      <c r="J103" s="6">
        <f t="shared" ca="1" si="22"/>
        <v>15822.428766143999</v>
      </c>
      <c r="K103" s="6">
        <f t="shared" ca="1" si="22"/>
        <v>18246.186772684414</v>
      </c>
      <c r="L103" s="6">
        <f t="shared" ca="1" si="22"/>
        <v>20654.85395178878</v>
      </c>
      <c r="M103" s="6">
        <f t="shared" ca="1" si="22"/>
        <v>23236.710695762376</v>
      </c>
      <c r="N103" s="6">
        <f t="shared" ca="1" si="22"/>
        <v>26025.115979253867</v>
      </c>
    </row>
    <row r="104" spans="3:14" x14ac:dyDescent="0.2">
      <c r="C104" t="s">
        <v>124</v>
      </c>
      <c r="D104" s="8">
        <f>D101-D103</f>
        <v>10766</v>
      </c>
      <c r="E104" s="8">
        <f t="shared" ref="E104:G104" si="23">E101-E103</f>
        <v>11515</v>
      </c>
      <c r="F104" s="8">
        <f t="shared" si="23"/>
        <v>14935</v>
      </c>
      <c r="G104" s="8">
        <f t="shared" si="23"/>
        <v>17242</v>
      </c>
      <c r="H104" s="8">
        <f t="shared" ref="H104" ca="1" si="24">H101-H103</f>
        <v>20437.248</v>
      </c>
      <c r="I104" s="8">
        <f t="shared" ref="I104" ca="1" si="25">I101-I103</f>
        <v>23804.5808</v>
      </c>
      <c r="J104" s="8">
        <f t="shared" ref="J104" ca="1" si="26">J101-J103</f>
        <v>27180.849416447996</v>
      </c>
      <c r="K104" s="8">
        <f t="shared" ref="K104" ca="1" si="27">K101-K103</f>
        <v>31035.570024566005</v>
      </c>
      <c r="L104" s="8">
        <f t="shared" ref="L104:N104" ca="1" si="28">L101-L103</f>
        <v>34787.122445117944</v>
      </c>
      <c r="M104" s="8">
        <f t="shared" ca="1" si="28"/>
        <v>39135.512750757684</v>
      </c>
      <c r="N104" s="8">
        <f t="shared" ca="1" si="28"/>
        <v>43831.774280848607</v>
      </c>
    </row>
    <row r="105" spans="3:14" x14ac:dyDescent="0.2">
      <c r="C105" s="69" t="s">
        <v>125</v>
      </c>
      <c r="D105" s="29">
        <f>IFERROR(D104/D$98,"NM ")</f>
        <v>0.5918962010006048</v>
      </c>
      <c r="E105" s="29">
        <f t="shared" ref="E105" si="29">IFERROR(E104/E$98,"NM ")</f>
        <v>0.5508515116724072</v>
      </c>
      <c r="F105" s="29">
        <f t="shared" ref="F105" si="30">IFERROR(F104/F$98,"NM ")</f>
        <v>0.54283429651437498</v>
      </c>
      <c r="G105" s="29">
        <f t="shared" ref="G105" si="31">IFERROR(G104/G$98,"NM ")</f>
        <v>0.53881250000000003</v>
      </c>
      <c r="H105" s="29">
        <f t="shared" ref="H105" ca="1" si="32">IFERROR(H104/H$98,"NM ")</f>
        <v>0.55199999999999994</v>
      </c>
      <c r="I105" s="29">
        <f t="shared" ref="I105" ca="1" si="33">IFERROR(I104/I$98,"NM ")</f>
        <v>0.54999999999999993</v>
      </c>
      <c r="J105" s="29">
        <f t="shared" ref="J105" ca="1" si="34">IFERROR(J104/J$98,"NM ")</f>
        <v>0.54799999999999993</v>
      </c>
      <c r="K105" s="29">
        <f t="shared" ref="K105" ca="1" si="35">IFERROR(K104/K$98,"NM ")</f>
        <v>0.54599999999999993</v>
      </c>
      <c r="L105" s="29">
        <f t="shared" ref="L105:N105" ca="1" si="36">IFERROR(L104/L$98,"NM ")</f>
        <v>0.54399999999999993</v>
      </c>
      <c r="M105" s="29">
        <f t="shared" ca="1" si="36"/>
        <v>0.54399999999999993</v>
      </c>
      <c r="N105" s="29">
        <f t="shared" ca="1" si="36"/>
        <v>0.54399999999999993</v>
      </c>
    </row>
    <row r="106" spans="3:14" x14ac:dyDescent="0.2">
      <c r="C106" t="s">
        <v>126</v>
      </c>
      <c r="D106" s="73">
        <f>'Income Statement'!C16</f>
        <v>8166</v>
      </c>
      <c r="E106" s="73">
        <f>'Income Statement'!D16</f>
        <v>7573</v>
      </c>
      <c r="F106" s="73">
        <f>'Income Statement'!E16</f>
        <v>9611</v>
      </c>
      <c r="G106" s="73">
        <f>'Income Statement'!G16</f>
        <v>11536</v>
      </c>
      <c r="H106" s="6">
        <f t="shared" ref="H106:N106" ca="1" si="37">H98*H78</f>
        <v>13069.472</v>
      </c>
      <c r="I106" s="6">
        <f t="shared" ca="1" si="37"/>
        <v>14628.996928000002</v>
      </c>
      <c r="J106" s="6">
        <f t="shared" ca="1" si="37"/>
        <v>16219.229487552</v>
      </c>
      <c r="K106" s="6">
        <f t="shared" ca="1" si="37"/>
        <v>18018.819959317629</v>
      </c>
      <c r="L106" s="6">
        <f t="shared" ca="1" si="37"/>
        <v>19887.490956675883</v>
      </c>
      <c r="M106" s="6">
        <f t="shared" ca="1" si="37"/>
        <v>22373.427326260367</v>
      </c>
      <c r="N106" s="6">
        <f t="shared" ca="1" si="37"/>
        <v>25058.238605411618</v>
      </c>
    </row>
    <row r="107" spans="3:14" x14ac:dyDescent="0.2">
      <c r="C107" s="9" t="s">
        <v>127</v>
      </c>
      <c r="D107" s="10">
        <f>D104-D106</f>
        <v>2600</v>
      </c>
      <c r="E107" s="10">
        <f t="shared" ref="E107:G107" si="38">E104-E106</f>
        <v>3942</v>
      </c>
      <c r="F107" s="10">
        <f t="shared" si="38"/>
        <v>5324</v>
      </c>
      <c r="G107" s="10">
        <f t="shared" si="38"/>
        <v>5706</v>
      </c>
      <c r="H107" s="10">
        <f t="shared" ref="H107" ca="1" si="39">H104-H106</f>
        <v>7367.7759999999998</v>
      </c>
      <c r="I107" s="10">
        <f t="shared" ref="I107" ca="1" si="40">I104-I106</f>
        <v>9175.5838719999974</v>
      </c>
      <c r="J107" s="10">
        <f t="shared" ref="J107" ca="1" si="41">J104-J106</f>
        <v>10961.619928895996</v>
      </c>
      <c r="K107" s="10">
        <f t="shared" ref="K107" ca="1" si="42">K104-K106</f>
        <v>13016.750065248376</v>
      </c>
      <c r="L107" s="10">
        <f t="shared" ref="L107:N107" ca="1" si="43">L104-L106</f>
        <v>14899.631488442061</v>
      </c>
      <c r="M107" s="10">
        <f t="shared" ca="1" si="43"/>
        <v>16762.085424497316</v>
      </c>
      <c r="N107" s="10">
        <f t="shared" ca="1" si="43"/>
        <v>18773.53567543699</v>
      </c>
    </row>
    <row r="108" spans="3:14" x14ac:dyDescent="0.2">
      <c r="C108" s="69" t="s">
        <v>128</v>
      </c>
      <c r="D108" s="29">
        <f>IFERROR(D107/D$98,"NM ")</f>
        <v>0.14294353730276541</v>
      </c>
      <c r="E108" s="29">
        <f t="shared" ref="E108" si="44">IFERROR(E107/E$98,"NM ")</f>
        <v>0.18857634902411022</v>
      </c>
      <c r="F108" s="29">
        <f t="shared" ref="F108" si="45">IFERROR(F107/F$98,"NM ")</f>
        <v>0.19350852324355758</v>
      </c>
      <c r="G108" s="29">
        <f t="shared" ref="G108" si="46">IFERROR(G107/G$98,"NM ")</f>
        <v>0.17831250000000001</v>
      </c>
      <c r="H108" s="29">
        <f t="shared" ref="H108" ca="1" si="47">IFERROR(H107/H$98,"NM ")</f>
        <v>0.19899999999999998</v>
      </c>
      <c r="I108" s="29">
        <f t="shared" ref="I108" ca="1" si="48">IFERROR(I107/I$98,"NM ")</f>
        <v>0.21199999999999991</v>
      </c>
      <c r="J108" s="29">
        <f t="shared" ref="J108" ca="1" si="49">IFERROR(J107/J$98,"NM ")</f>
        <v>0.22099999999999992</v>
      </c>
      <c r="K108" s="29">
        <f t="shared" ref="K108" ca="1" si="50">IFERROR(K107/K$98,"NM ")</f>
        <v>0.2289999999999999</v>
      </c>
      <c r="L108" s="29">
        <f t="shared" ref="L108:N108" ca="1" si="51">IFERROR(L107/L$98,"NM ")</f>
        <v>0.23299999999999998</v>
      </c>
      <c r="M108" s="29">
        <f t="shared" ca="1" si="51"/>
        <v>0.23299999999999998</v>
      </c>
      <c r="N108" s="29">
        <f t="shared" ca="1" si="51"/>
        <v>0.23299999999999987</v>
      </c>
    </row>
    <row r="109" spans="3:14" x14ac:dyDescent="0.2">
      <c r="C109" t="s">
        <v>129</v>
      </c>
      <c r="D109" s="6"/>
      <c r="E109" s="6"/>
      <c r="F109" s="6"/>
      <c r="G109" s="6"/>
      <c r="H109" s="6">
        <f t="shared" ref="H109:N109" ca="1" si="52">H98*H84</f>
        <v>1499.472</v>
      </c>
      <c r="I109" s="6">
        <f t="shared" ca="1" si="52"/>
        <v>1397.9781088000002</v>
      </c>
      <c r="J109" s="6">
        <f t="shared" ca="1" si="52"/>
        <v>1398.7225429631999</v>
      </c>
      <c r="K109" s="6">
        <f t="shared" ca="1" si="52"/>
        <v>1301.6750065248382</v>
      </c>
      <c r="L109" s="6">
        <f t="shared" ca="1" si="52"/>
        <v>1470.7790739663837</v>
      </c>
      <c r="M109" s="6">
        <f t="shared" ca="1" si="52"/>
        <v>1654.6264582121817</v>
      </c>
      <c r="N109" s="6">
        <f t="shared" ca="1" si="52"/>
        <v>1853.1816331976436</v>
      </c>
    </row>
    <row r="110" spans="3:14" x14ac:dyDescent="0.2">
      <c r="C110" t="s">
        <v>130</v>
      </c>
      <c r="D110" s="6"/>
      <c r="E110" s="6"/>
      <c r="F110" s="6"/>
      <c r="G110" s="6"/>
      <c r="H110" s="6">
        <f>H257</f>
        <v>97.239750000000029</v>
      </c>
      <c r="I110" s="6">
        <f t="shared" ref="I110:L110" si="53">I257</f>
        <v>97.239750000000001</v>
      </c>
      <c r="J110" s="6">
        <f t="shared" si="53"/>
        <v>97.239750000000001</v>
      </c>
      <c r="K110" s="6">
        <f t="shared" si="53"/>
        <v>97.239750000000001</v>
      </c>
      <c r="L110" s="6">
        <f t="shared" si="53"/>
        <v>97.239750000000001</v>
      </c>
      <c r="M110" s="6">
        <f t="shared" ref="M110:N110" si="54">M257</f>
        <v>97.239749999999972</v>
      </c>
      <c r="N110" s="6">
        <f t="shared" si="54"/>
        <v>24.963750000000022</v>
      </c>
    </row>
    <row r="111" spans="3:14" x14ac:dyDescent="0.2">
      <c r="C111" t="s">
        <v>131</v>
      </c>
      <c r="D111" s="6"/>
      <c r="E111" s="6"/>
      <c r="F111" s="6"/>
      <c r="G111" s="6"/>
      <c r="H111" s="8">
        <f ca="1">H107-H109-H110</f>
        <v>5771.0642500000004</v>
      </c>
      <c r="I111" s="8">
        <f t="shared" ref="I111:L111" ca="1" si="55">I107-I109-I110</f>
        <v>7680.3660131999977</v>
      </c>
      <c r="J111" s="8">
        <f t="shared" ca="1" si="55"/>
        <v>9465.6576359327955</v>
      </c>
      <c r="K111" s="8">
        <f t="shared" ca="1" si="55"/>
        <v>11617.835308723537</v>
      </c>
      <c r="L111" s="8">
        <f t="shared" ca="1" si="55"/>
        <v>13331.612664475677</v>
      </c>
      <c r="M111" s="8">
        <f t="shared" ref="M111:N111" ca="1" si="56">M107-M109-M110</f>
        <v>15010.219216285133</v>
      </c>
      <c r="N111" s="8">
        <f t="shared" ca="1" si="56"/>
        <v>16895.390292239346</v>
      </c>
    </row>
    <row r="112" spans="3:14" x14ac:dyDescent="0.2">
      <c r="C112" t="s">
        <v>132</v>
      </c>
      <c r="D112" s="6"/>
      <c r="E112" s="6"/>
      <c r="F112" s="6"/>
      <c r="G112" s="6"/>
      <c r="H112" s="6">
        <f ca="1">H255</f>
        <v>5981.5769760000003</v>
      </c>
      <c r="I112" s="6">
        <f t="shared" ref="I112:L112" ca="1" si="57">I255</f>
        <v>6021.929807999999</v>
      </c>
      <c r="J112" s="6">
        <f t="shared" ca="1" si="57"/>
        <v>6054.2942399999993</v>
      </c>
      <c r="K112" s="6">
        <f t="shared" ca="1" si="57"/>
        <v>6078.6702719999994</v>
      </c>
      <c r="L112" s="6">
        <f t="shared" ca="1" si="57"/>
        <v>6095.0579039999993</v>
      </c>
      <c r="M112" s="6">
        <f t="shared" ref="M112:N112" ca="1" si="58">M255</f>
        <v>5179.6785600000003</v>
      </c>
      <c r="N112" s="6">
        <f t="shared" ca="1" si="58"/>
        <v>4268.3732999999993</v>
      </c>
    </row>
    <row r="113" spans="1:16" x14ac:dyDescent="0.2">
      <c r="C113" t="s">
        <v>133</v>
      </c>
      <c r="D113" s="82" t="s">
        <v>134</v>
      </c>
      <c r="H113" s="8">
        <f t="shared" ref="H113:L113" ca="1" si="59">H111-H112</f>
        <v>-210.51272599999993</v>
      </c>
      <c r="I113" s="8">
        <f t="shared" ca="1" si="59"/>
        <v>1658.4362051999988</v>
      </c>
      <c r="J113" s="8">
        <f t="shared" ca="1" si="59"/>
        <v>3411.3633959327963</v>
      </c>
      <c r="K113" s="8">
        <f t="shared" ca="1" si="59"/>
        <v>5539.1650367235379</v>
      </c>
      <c r="L113" s="8">
        <f t="shared" ca="1" si="59"/>
        <v>7236.5547604756775</v>
      </c>
      <c r="M113" s="8">
        <f t="shared" ref="M113:N113" ca="1" si="60">M111-M112</f>
        <v>9830.5406562851331</v>
      </c>
      <c r="N113" s="8">
        <f t="shared" ca="1" si="60"/>
        <v>12627.016992239347</v>
      </c>
    </row>
    <row r="114" spans="1:16" x14ac:dyDescent="0.2">
      <c r="A114" s="186"/>
      <c r="C114" t="s">
        <v>135</v>
      </c>
      <c r="D114" s="151">
        <f>ROUND(21%+6.5%,2)</f>
        <v>0.28000000000000003</v>
      </c>
      <c r="H114" s="6">
        <f ca="1">H113*$D114</f>
        <v>-58.943563279999985</v>
      </c>
      <c r="I114" s="6">
        <f ca="1">I113*$D114</f>
        <v>464.36213745599969</v>
      </c>
      <c r="J114" s="6">
        <f ca="1">J113*$D114</f>
        <v>955.18175086118299</v>
      </c>
      <c r="K114" s="6">
        <f ca="1">K113*$D114</f>
        <v>1550.9662102825907</v>
      </c>
      <c r="L114" s="6">
        <f ca="1">L113*$D114</f>
        <v>2026.23533293319</v>
      </c>
      <c r="M114" s="6">
        <f t="shared" ref="M114:N114" ca="1" si="61">M113*$D114</f>
        <v>2752.5513837598373</v>
      </c>
      <c r="N114" s="6">
        <f t="shared" ca="1" si="61"/>
        <v>3535.5647578270173</v>
      </c>
      <c r="P114" s="207" t="s">
        <v>136</v>
      </c>
    </row>
    <row r="115" spans="1:16" x14ac:dyDescent="0.2">
      <c r="C115" t="s">
        <v>137</v>
      </c>
      <c r="D115" s="6"/>
      <c r="E115" s="6"/>
      <c r="F115" s="6"/>
      <c r="G115" s="6"/>
      <c r="H115" s="8">
        <f t="shared" ref="H115" ca="1" si="62">H113-H114</f>
        <v>-151.56916271999995</v>
      </c>
      <c r="I115" s="8">
        <f t="shared" ref="I115" ca="1" si="63">I113-I114</f>
        <v>1194.074067743999</v>
      </c>
      <c r="J115" s="8">
        <f t="shared" ref="J115" ca="1" si="64">J113-J114</f>
        <v>2456.1816450716133</v>
      </c>
      <c r="K115" s="8">
        <f t="shared" ref="K115" ca="1" si="65">K113-K114</f>
        <v>3988.1988264409474</v>
      </c>
      <c r="L115" s="8">
        <f t="shared" ref="L115:N115" ca="1" si="66">L113-L114</f>
        <v>5210.3194275424876</v>
      </c>
      <c r="M115" s="8">
        <f t="shared" ca="1" si="66"/>
        <v>7077.9892725252957</v>
      </c>
      <c r="N115" s="8">
        <f t="shared" ca="1" si="66"/>
        <v>9091.4522344123288</v>
      </c>
    </row>
    <row r="116" spans="1:16" ht="5" customHeight="1" x14ac:dyDescent="0.2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6" ht="14.5" customHeight="1" x14ac:dyDescent="0.2">
      <c r="C117" t="s">
        <v>138</v>
      </c>
      <c r="D117" s="6"/>
      <c r="E117" s="6"/>
      <c r="F117" s="6"/>
      <c r="G117" s="6"/>
      <c r="H117" s="6">
        <f t="shared" ref="H117:L117" ca="1" si="67">H98*H118</f>
        <v>1499.472</v>
      </c>
      <c r="I117" s="6">
        <f t="shared" ca="1" si="67"/>
        <v>1397.9781088000002</v>
      </c>
      <c r="J117" s="6">
        <f t="shared" ca="1" si="67"/>
        <v>1398.7225429631999</v>
      </c>
      <c r="K117" s="6">
        <f t="shared" ca="1" si="67"/>
        <v>1301.6750065248382</v>
      </c>
      <c r="L117" s="6">
        <f t="shared" ca="1" si="67"/>
        <v>1470.7790739663837</v>
      </c>
      <c r="M117" s="6">
        <f t="shared" ref="M117:N117" ca="1" si="68">M98*M118</f>
        <v>1654.6264582121817</v>
      </c>
      <c r="N117" s="6">
        <f t="shared" ca="1" si="68"/>
        <v>1853.1816331976436</v>
      </c>
      <c r="P117" t="s">
        <v>139</v>
      </c>
    </row>
    <row r="118" spans="1:16" x14ac:dyDescent="0.2">
      <c r="C118" s="69" t="s">
        <v>140</v>
      </c>
      <c r="D118" s="29"/>
      <c r="E118" s="29"/>
      <c r="F118" s="29"/>
      <c r="G118" s="29"/>
      <c r="H118" s="29">
        <f ca="1">H90</f>
        <v>4.0500000000000001E-2</v>
      </c>
      <c r="I118" s="29">
        <f t="shared" ref="I118:N118" ca="1" si="69">I90</f>
        <v>3.2300000000000002E-2</v>
      </c>
      <c r="J118" s="29">
        <f t="shared" ca="1" si="69"/>
        <v>2.8199999999999999E-2</v>
      </c>
      <c r="K118" s="29">
        <f t="shared" ca="1" si="69"/>
        <v>2.29E-2</v>
      </c>
      <c r="L118" s="29">
        <f t="shared" ca="1" si="69"/>
        <v>2.3E-2</v>
      </c>
      <c r="M118" s="29">
        <f t="shared" ca="1" si="69"/>
        <v>2.3E-2</v>
      </c>
      <c r="N118" s="29">
        <f t="shared" ca="1" si="69"/>
        <v>2.3E-2</v>
      </c>
    </row>
    <row r="119" spans="1:16" ht="10.25" customHeight="1" x14ac:dyDescent="0.2"/>
    <row r="120" spans="1:16" ht="18" x14ac:dyDescent="0.35">
      <c r="C120" s="118" t="s">
        <v>141</v>
      </c>
      <c r="D120" s="119"/>
      <c r="E120" s="119"/>
      <c r="F120" s="119"/>
      <c r="G120" s="119" t="s">
        <v>77</v>
      </c>
      <c r="H120" s="119" t="s">
        <v>78</v>
      </c>
      <c r="I120" s="119"/>
      <c r="J120" s="119"/>
      <c r="K120" s="119"/>
      <c r="L120" s="119"/>
      <c r="M120" s="119"/>
      <c r="N120" s="119"/>
      <c r="P120" s="119"/>
    </row>
    <row r="121" spans="1:16" ht="18" x14ac:dyDescent="0.35">
      <c r="C121" s="120" t="s">
        <v>79</v>
      </c>
      <c r="D121" s="121"/>
      <c r="E121" s="121"/>
      <c r="F121" s="121"/>
      <c r="G121" s="121" t="s">
        <v>80</v>
      </c>
      <c r="H121" s="121" t="s">
        <v>81</v>
      </c>
      <c r="I121" s="121" t="s">
        <v>82</v>
      </c>
      <c r="J121" s="121" t="s">
        <v>83</v>
      </c>
      <c r="K121" s="121" t="s">
        <v>84</v>
      </c>
      <c r="L121" s="121" t="s">
        <v>85</v>
      </c>
      <c r="M121" s="121" t="s">
        <v>86</v>
      </c>
      <c r="N121" s="121" t="s">
        <v>87</v>
      </c>
      <c r="P121" s="117" t="s">
        <v>17</v>
      </c>
    </row>
    <row r="122" spans="1:16" ht="5" customHeight="1" x14ac:dyDescent="0.2"/>
    <row r="123" spans="1:16" x14ac:dyDescent="0.2">
      <c r="C123" t="s">
        <v>137</v>
      </c>
      <c r="D123" s="6"/>
      <c r="E123" s="6"/>
      <c r="F123" s="6"/>
      <c r="G123" s="6"/>
      <c r="H123" s="6">
        <f t="shared" ref="H123:N123" ca="1" si="70">H115</f>
        <v>-151.56916271999995</v>
      </c>
      <c r="I123" s="6">
        <f t="shared" ca="1" si="70"/>
        <v>1194.074067743999</v>
      </c>
      <c r="J123" s="6">
        <f t="shared" ca="1" si="70"/>
        <v>2456.1816450716133</v>
      </c>
      <c r="K123" s="6">
        <f t="shared" ca="1" si="70"/>
        <v>3988.1988264409474</v>
      </c>
      <c r="L123" s="6">
        <f t="shared" ca="1" si="70"/>
        <v>5210.3194275424876</v>
      </c>
      <c r="M123" s="6">
        <f t="shared" ca="1" si="70"/>
        <v>7077.9892725252957</v>
      </c>
      <c r="N123" s="6">
        <f t="shared" ca="1" si="70"/>
        <v>9091.4522344123288</v>
      </c>
    </row>
    <row r="124" spans="1:16" x14ac:dyDescent="0.2">
      <c r="C124" t="s">
        <v>129</v>
      </c>
      <c r="D124" s="6"/>
      <c r="E124" s="6"/>
      <c r="F124" s="6"/>
      <c r="G124" s="6"/>
      <c r="H124" s="6">
        <f ca="1">H109</f>
        <v>1499.472</v>
      </c>
      <c r="I124" s="6">
        <f t="shared" ref="I124:N124" ca="1" si="71">I109</f>
        <v>1397.9781088000002</v>
      </c>
      <c r="J124" s="6">
        <f t="shared" ca="1" si="71"/>
        <v>1398.7225429631999</v>
      </c>
      <c r="K124" s="6">
        <f t="shared" ca="1" si="71"/>
        <v>1301.6750065248382</v>
      </c>
      <c r="L124" s="6">
        <f t="shared" ca="1" si="71"/>
        <v>1470.7790739663837</v>
      </c>
      <c r="M124" s="6">
        <f t="shared" ca="1" si="71"/>
        <v>1654.6264582121817</v>
      </c>
      <c r="N124" s="6">
        <f t="shared" ca="1" si="71"/>
        <v>1853.1816331976436</v>
      </c>
    </row>
    <row r="125" spans="1:16" x14ac:dyDescent="0.2">
      <c r="C125" t="s">
        <v>130</v>
      </c>
      <c r="D125" s="6"/>
      <c r="E125" s="6"/>
      <c r="F125" s="6"/>
      <c r="G125" s="6"/>
      <c r="H125" s="6">
        <f>H110</f>
        <v>97.239750000000029</v>
      </c>
      <c r="I125" s="6">
        <f t="shared" ref="I125:N125" si="72">I110</f>
        <v>97.239750000000001</v>
      </c>
      <c r="J125" s="6">
        <f t="shared" si="72"/>
        <v>97.239750000000001</v>
      </c>
      <c r="K125" s="6">
        <f t="shared" si="72"/>
        <v>97.239750000000001</v>
      </c>
      <c r="L125" s="6">
        <f t="shared" si="72"/>
        <v>97.239750000000001</v>
      </c>
      <c r="M125" s="6">
        <f t="shared" si="72"/>
        <v>97.239749999999972</v>
      </c>
      <c r="N125" s="6">
        <f t="shared" si="72"/>
        <v>24.963750000000022</v>
      </c>
      <c r="P125" t="s">
        <v>142</v>
      </c>
    </row>
    <row r="126" spans="1:16" x14ac:dyDescent="0.2">
      <c r="C126" t="s">
        <v>143</v>
      </c>
      <c r="D126" s="6"/>
      <c r="E126" s="6"/>
      <c r="F126" s="6"/>
      <c r="G126" s="6"/>
      <c r="H126" s="6">
        <f>H254</f>
        <v>0</v>
      </c>
      <c r="I126" s="6">
        <f>I254</f>
        <v>0</v>
      </c>
      <c r="J126" s="6">
        <f t="shared" ref="J126:L126" si="73">J254</f>
        <v>0</v>
      </c>
      <c r="K126" s="6">
        <f t="shared" si="73"/>
        <v>0</v>
      </c>
      <c r="L126" s="6">
        <f t="shared" si="73"/>
        <v>0</v>
      </c>
      <c r="M126" s="6">
        <f t="shared" ref="M126:N126" si="74">M254</f>
        <v>0</v>
      </c>
      <c r="N126" s="6">
        <f t="shared" si="74"/>
        <v>0</v>
      </c>
    </row>
    <row r="127" spans="1:16" x14ac:dyDescent="0.2">
      <c r="C127" t="s">
        <v>144</v>
      </c>
      <c r="D127" s="6"/>
      <c r="E127" s="6"/>
      <c r="F127" s="6"/>
      <c r="G127" s="6"/>
      <c r="H127" s="6">
        <f ca="1">H192</f>
        <v>-2103.2784657534285</v>
      </c>
      <c r="I127" s="6">
        <f t="shared" ref="I127:L127" ca="1" si="75">I192</f>
        <v>-3072.30477369863</v>
      </c>
      <c r="J127" s="6">
        <f t="shared" ca="1" si="75"/>
        <v>-3120.8001082888695</v>
      </c>
      <c r="K127" s="6">
        <f t="shared" ca="1" si="75"/>
        <v>-3587.1505435770741</v>
      </c>
      <c r="L127" s="6">
        <f t="shared" ca="1" si="75"/>
        <v>-3542.1919686889451</v>
      </c>
      <c r="M127" s="6">
        <f t="shared" ref="M127:N127" ca="1" si="76">M192</f>
        <v>-3890.3595681173028</v>
      </c>
      <c r="N127" s="6">
        <f t="shared" ca="1" si="76"/>
        <v>-4201.5883335666877</v>
      </c>
    </row>
    <row r="128" spans="1:16" x14ac:dyDescent="0.2">
      <c r="C128" t="s">
        <v>138</v>
      </c>
      <c r="D128" s="6"/>
      <c r="E128" s="6"/>
      <c r="F128" s="6"/>
      <c r="G128" s="6"/>
      <c r="H128" s="6">
        <f ca="1">-H117</f>
        <v>-1499.472</v>
      </c>
      <c r="I128" s="6">
        <f t="shared" ref="I128:N128" ca="1" si="77">-I117</f>
        <v>-1397.9781088000002</v>
      </c>
      <c r="J128" s="6">
        <f t="shared" ca="1" si="77"/>
        <v>-1398.7225429631999</v>
      </c>
      <c r="K128" s="6">
        <f t="shared" ca="1" si="77"/>
        <v>-1301.6750065248382</v>
      </c>
      <c r="L128" s="6">
        <f t="shared" ca="1" si="77"/>
        <v>-1470.7790739663837</v>
      </c>
      <c r="M128" s="6">
        <f t="shared" ca="1" si="77"/>
        <v>-1654.6264582121817</v>
      </c>
      <c r="N128" s="6">
        <f t="shared" ca="1" si="77"/>
        <v>-1853.1816331976436</v>
      </c>
    </row>
    <row r="129" spans="1:16" x14ac:dyDescent="0.2">
      <c r="C129" s="9" t="s">
        <v>145</v>
      </c>
      <c r="D129" s="12"/>
      <c r="E129" s="12"/>
      <c r="F129" s="12"/>
      <c r="G129" s="12"/>
      <c r="H129" s="10">
        <f ca="1">SUM(H123:H128)</f>
        <v>-2157.6078784734282</v>
      </c>
      <c r="I129" s="10">
        <f ca="1">SUM(I123:I128)</f>
        <v>-1780.9909559546311</v>
      </c>
      <c r="J129" s="10">
        <f ca="1">SUM(J123:J128)</f>
        <v>-567.37871321725606</v>
      </c>
      <c r="K129" s="10">
        <f ca="1">SUM(K123:K128)</f>
        <v>498.28803286387279</v>
      </c>
      <c r="L129" s="10">
        <f ca="1">SUM(L123:L128)</f>
        <v>1765.3672088535427</v>
      </c>
      <c r="M129" s="10">
        <f t="shared" ref="M129:N129" ca="1" si="78">SUM(M123:M128)</f>
        <v>3284.869454407994</v>
      </c>
      <c r="N129" s="10">
        <f t="shared" ca="1" si="78"/>
        <v>4914.8276508456429</v>
      </c>
    </row>
    <row r="130" spans="1:16" ht="5" customHeight="1" x14ac:dyDescent="0.2"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6" x14ac:dyDescent="0.2">
      <c r="C131" t="s">
        <v>146</v>
      </c>
      <c r="D131" s="6"/>
      <c r="E131" s="6"/>
      <c r="F131" s="6"/>
      <c r="G131" s="6"/>
      <c r="H131" s="6">
        <f>G139</f>
        <v>1000</v>
      </c>
      <c r="I131" s="6">
        <f t="shared" ref="I131:L131" ca="1" si="79">H139</f>
        <v>-1000</v>
      </c>
      <c r="J131" s="6">
        <f t="shared" ca="1" si="79"/>
        <v>-1000</v>
      </c>
      <c r="K131" s="6">
        <f t="shared" ca="1" si="79"/>
        <v>-1000</v>
      </c>
      <c r="L131" s="6">
        <f t="shared" ca="1" si="79"/>
        <v>-1000</v>
      </c>
      <c r="M131" s="6">
        <f t="shared" ref="M131" ca="1" si="80">L139</f>
        <v>-1000</v>
      </c>
      <c r="N131" s="6">
        <f t="shared" ref="N131" ca="1" si="81">M139</f>
        <v>-1000</v>
      </c>
    </row>
    <row r="132" spans="1:16" x14ac:dyDescent="0.2">
      <c r="C132" t="s">
        <v>147</v>
      </c>
      <c r="D132" s="6"/>
      <c r="E132" s="6"/>
      <c r="F132" s="6"/>
      <c r="G132" s="6"/>
      <c r="H132" s="126">
        <f>$E$49</f>
        <v>1000</v>
      </c>
      <c r="I132" s="126">
        <f t="shared" ref="I132:N132" si="82">$E$49</f>
        <v>1000</v>
      </c>
      <c r="J132" s="126">
        <f t="shared" si="82"/>
        <v>1000</v>
      </c>
      <c r="K132" s="126">
        <f t="shared" si="82"/>
        <v>1000</v>
      </c>
      <c r="L132" s="126">
        <f t="shared" si="82"/>
        <v>1000</v>
      </c>
      <c r="M132" s="126">
        <f t="shared" si="82"/>
        <v>1000</v>
      </c>
      <c r="N132" s="126">
        <f t="shared" si="82"/>
        <v>1000</v>
      </c>
    </row>
    <row r="133" spans="1:16" x14ac:dyDescent="0.2">
      <c r="C133" t="s">
        <v>148</v>
      </c>
      <c r="D133" s="6"/>
      <c r="E133" s="6"/>
      <c r="F133" s="6"/>
      <c r="G133" s="6"/>
      <c r="H133" s="6">
        <f ca="1">H129</f>
        <v>-2157.6078784734282</v>
      </c>
      <c r="I133" s="6">
        <f ca="1">I129</f>
        <v>-1780.9909559546311</v>
      </c>
      <c r="J133" s="6">
        <f ca="1">J129</f>
        <v>-567.37871321725606</v>
      </c>
      <c r="K133" s="6">
        <f ca="1">K129</f>
        <v>498.28803286387279</v>
      </c>
      <c r="L133" s="6">
        <f ca="1">L129</f>
        <v>1765.3672088535427</v>
      </c>
      <c r="M133" s="6">
        <f t="shared" ref="M133:N133" ca="1" si="83">M129</f>
        <v>3284.869454407994</v>
      </c>
      <c r="N133" s="6">
        <f t="shared" ca="1" si="83"/>
        <v>4914.8276508456429</v>
      </c>
    </row>
    <row r="134" spans="1:16" x14ac:dyDescent="0.2">
      <c r="C134" t="s">
        <v>149</v>
      </c>
      <c r="D134" s="6"/>
      <c r="E134" s="6"/>
      <c r="F134" s="6"/>
      <c r="G134" s="6"/>
      <c r="H134" s="8">
        <f ca="1">SUM(H131:H133)</f>
        <v>-157.60787847342817</v>
      </c>
      <c r="I134" s="8">
        <f t="shared" ref="I134:L134" ca="1" si="84">SUM(I131:I133)</f>
        <v>-1780.9909559546311</v>
      </c>
      <c r="J134" s="8">
        <f t="shared" ca="1" si="84"/>
        <v>-567.37871321725606</v>
      </c>
      <c r="K134" s="8">
        <f t="shared" ca="1" si="84"/>
        <v>498.28803286387279</v>
      </c>
      <c r="L134" s="8">
        <f t="shared" ca="1" si="84"/>
        <v>1765.3672088535427</v>
      </c>
      <c r="M134" s="8">
        <f t="shared" ref="M134:N134" ca="1" si="85">SUM(M131:M133)</f>
        <v>3284.869454407994</v>
      </c>
      <c r="N134" s="8">
        <f t="shared" ca="1" si="85"/>
        <v>4914.8276508456429</v>
      </c>
    </row>
    <row r="135" spans="1:16" x14ac:dyDescent="0.2">
      <c r="C135" t="s">
        <v>150</v>
      </c>
      <c r="D135" s="6"/>
      <c r="E135" s="6"/>
      <c r="F135" s="6"/>
      <c r="G135" s="6"/>
      <c r="H135" s="6">
        <f>H251</f>
        <v>-1597.68</v>
      </c>
      <c r="I135" s="6">
        <f t="shared" ref="I135:L135" si="86">I251</f>
        <v>-1597.68</v>
      </c>
      <c r="J135" s="6">
        <f t="shared" si="86"/>
        <v>-1597.68</v>
      </c>
      <c r="K135" s="6">
        <f t="shared" si="86"/>
        <v>-1597.68</v>
      </c>
      <c r="L135" s="6">
        <f t="shared" si="86"/>
        <v>-7303.68</v>
      </c>
      <c r="M135" s="6">
        <f t="shared" ref="M135:N135" si="87">M251</f>
        <v>-23965.199999999997</v>
      </c>
      <c r="N135" s="6">
        <f t="shared" si="87"/>
        <v>0</v>
      </c>
    </row>
    <row r="136" spans="1:16" x14ac:dyDescent="0.2">
      <c r="C136" t="s">
        <v>151</v>
      </c>
      <c r="D136" s="6"/>
      <c r="E136" s="6"/>
      <c r="F136" s="6"/>
      <c r="G136" s="6"/>
      <c r="H136" s="6">
        <f ca="1">H212</f>
        <v>1755.2878784734282</v>
      </c>
      <c r="I136" s="6">
        <f ca="1">I212</f>
        <v>3378.6709559546312</v>
      </c>
      <c r="J136" s="6">
        <f ca="1">J212</f>
        <v>2165.0587132172559</v>
      </c>
      <c r="K136" s="6">
        <f ca="1">K212</f>
        <v>1099.3919671361273</v>
      </c>
      <c r="L136" s="6">
        <f ca="1">L212</f>
        <v>5538.312791146458</v>
      </c>
      <c r="M136" s="6">
        <f t="shared" ref="M136:N136" ca="1" si="88">M212</f>
        <v>20680.330545592002</v>
      </c>
      <c r="N136" s="6">
        <f t="shared" ca="1" si="88"/>
        <v>-4914.8276508456429</v>
      </c>
    </row>
    <row r="137" spans="1:16" x14ac:dyDescent="0.2">
      <c r="C137" s="9" t="s">
        <v>152</v>
      </c>
      <c r="D137" s="12"/>
      <c r="E137" s="12"/>
      <c r="F137" s="12"/>
      <c r="G137" s="12"/>
      <c r="H137" s="10">
        <f ca="1">SUM(H134:H136)</f>
        <v>0</v>
      </c>
      <c r="I137" s="10">
        <f t="shared" ref="I137:L137" ca="1" si="89">SUM(I134:I136)</f>
        <v>0</v>
      </c>
      <c r="J137" s="10">
        <f t="shared" ca="1" si="89"/>
        <v>0</v>
      </c>
      <c r="K137" s="10">
        <f t="shared" ca="1" si="89"/>
        <v>0</v>
      </c>
      <c r="L137" s="10">
        <f t="shared" ca="1" si="89"/>
        <v>0</v>
      </c>
      <c r="M137" s="10">
        <f t="shared" ref="M137:N137" ca="1" si="90">SUM(M134:M136)</f>
        <v>0</v>
      </c>
      <c r="N137" s="10">
        <f t="shared" ca="1" si="90"/>
        <v>0</v>
      </c>
    </row>
    <row r="138" spans="1:16" ht="5" customHeight="1" x14ac:dyDescent="0.2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6" ht="14.5" customHeight="1" x14ac:dyDescent="0.2">
      <c r="C139" t="s">
        <v>153</v>
      </c>
      <c r="D139" s="6"/>
      <c r="E139" s="6"/>
      <c r="F139" s="6"/>
      <c r="G139" s="8">
        <f>E49</f>
        <v>1000</v>
      </c>
      <c r="H139" s="8">
        <f ca="1">SUM(-H132,H137)</f>
        <v>-1000</v>
      </c>
      <c r="I139" s="8">
        <f t="shared" ref="I139:L139" ca="1" si="91">SUM(-I132,I137)</f>
        <v>-1000</v>
      </c>
      <c r="J139" s="8">
        <f t="shared" ca="1" si="91"/>
        <v>-1000</v>
      </c>
      <c r="K139" s="8">
        <f t="shared" ca="1" si="91"/>
        <v>-1000</v>
      </c>
      <c r="L139" s="8">
        <f t="shared" ca="1" si="91"/>
        <v>-1000</v>
      </c>
      <c r="M139" s="8">
        <f t="shared" ref="M139:N139" ca="1" si="92">SUM(-M132,M137)</f>
        <v>-1000</v>
      </c>
      <c r="N139" s="8">
        <f t="shared" ca="1" si="92"/>
        <v>-1000</v>
      </c>
    </row>
    <row r="140" spans="1:16" ht="10.25" customHeight="1" x14ac:dyDescent="0.2"/>
    <row r="141" spans="1:16" ht="10.25" customHeight="1" x14ac:dyDescent="0.2"/>
    <row r="142" spans="1:16" ht="18" x14ac:dyDescent="0.35">
      <c r="A142" t="s">
        <v>15</v>
      </c>
      <c r="C142" s="118" t="s">
        <v>154</v>
      </c>
      <c r="D142" s="119"/>
      <c r="E142" s="119"/>
      <c r="F142" s="119"/>
      <c r="G142" s="119" t="s">
        <v>77</v>
      </c>
      <c r="H142" s="119" t="s">
        <v>78</v>
      </c>
      <c r="I142" s="119"/>
      <c r="J142" s="119"/>
      <c r="K142" s="119"/>
      <c r="L142" s="119"/>
      <c r="M142" s="119"/>
      <c r="N142" s="119"/>
      <c r="P142" s="119"/>
    </row>
    <row r="143" spans="1:16" ht="18" x14ac:dyDescent="0.35">
      <c r="C143" s="120" t="s">
        <v>79</v>
      </c>
      <c r="D143" s="121"/>
      <c r="E143" s="121"/>
      <c r="F143" s="121"/>
      <c r="G143" s="121" t="s">
        <v>80</v>
      </c>
      <c r="H143" s="121" t="s">
        <v>81</v>
      </c>
      <c r="I143" s="121" t="s">
        <v>82</v>
      </c>
      <c r="J143" s="121" t="s">
        <v>83</v>
      </c>
      <c r="K143" s="121" t="s">
        <v>84</v>
      </c>
      <c r="L143" s="121" t="s">
        <v>85</v>
      </c>
      <c r="M143" s="121" t="s">
        <v>86</v>
      </c>
      <c r="N143" s="121" t="s">
        <v>87</v>
      </c>
      <c r="P143" s="117" t="s">
        <v>17</v>
      </c>
    </row>
    <row r="144" spans="1:16" ht="5" customHeight="1" x14ac:dyDescent="0.2"/>
    <row r="145" spans="1:16" x14ac:dyDescent="0.2">
      <c r="C145" s="9" t="s">
        <v>155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6" x14ac:dyDescent="0.2">
      <c r="C146" s="69" t="s">
        <v>156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6" x14ac:dyDescent="0.2">
      <c r="C147" s="152" t="s">
        <v>157</v>
      </c>
      <c r="D147" s="6"/>
      <c r="E147" s="6"/>
      <c r="F147" s="6"/>
      <c r="G147" s="6">
        <f t="shared" ref="G147:N147" si="93">G139</f>
        <v>1000</v>
      </c>
      <c r="H147" s="6">
        <f t="shared" ca="1" si="93"/>
        <v>-1000</v>
      </c>
      <c r="I147" s="6">
        <f t="shared" ca="1" si="93"/>
        <v>-1000</v>
      </c>
      <c r="J147" s="6">
        <f t="shared" ca="1" si="93"/>
        <v>-1000</v>
      </c>
      <c r="K147" s="6">
        <f t="shared" ca="1" si="93"/>
        <v>-1000</v>
      </c>
      <c r="L147" s="6">
        <f t="shared" ca="1" si="93"/>
        <v>-1000</v>
      </c>
      <c r="M147" s="6">
        <f t="shared" ca="1" si="93"/>
        <v>-1000</v>
      </c>
      <c r="N147" s="6">
        <f t="shared" ca="1" si="93"/>
        <v>-1000</v>
      </c>
    </row>
    <row r="148" spans="1:16" x14ac:dyDescent="0.2">
      <c r="C148" s="152" t="s">
        <v>158</v>
      </c>
      <c r="D148" s="6"/>
      <c r="E148" s="6"/>
      <c r="F148" s="73"/>
      <c r="G148" s="6">
        <f>G178</f>
        <v>5260.2739726027394</v>
      </c>
      <c r="H148" s="6">
        <f t="shared" ref="H148:L148" ca="1" si="94">H178</f>
        <v>6086.1369863013697</v>
      </c>
      <c r="I148" s="6">
        <f t="shared" ca="1" si="94"/>
        <v>7114.6941369863025</v>
      </c>
      <c r="J148" s="6">
        <f t="shared" ca="1" si="94"/>
        <v>8153.4394809863006</v>
      </c>
      <c r="K148" s="6">
        <f t="shared" ca="1" si="94"/>
        <v>9343.8416452102992</v>
      </c>
      <c r="L148" s="6">
        <f t="shared" ca="1" si="94"/>
        <v>10511.821850861586</v>
      </c>
      <c r="M148" s="6">
        <f t="shared" ref="M148:N148" ca="1" si="95">M178</f>
        <v>11825.799582219284</v>
      </c>
      <c r="N148" s="6">
        <f t="shared" ca="1" si="95"/>
        <v>13244.8955320856</v>
      </c>
    </row>
    <row r="149" spans="1:16" x14ac:dyDescent="0.2">
      <c r="C149" s="152" t="s">
        <v>159</v>
      </c>
      <c r="D149" s="6"/>
      <c r="E149" s="6"/>
      <c r="F149" s="73"/>
      <c r="G149" s="6">
        <f t="shared" ref="G149:L151" si="96">G179</f>
        <v>12129.86301369863</v>
      </c>
      <c r="H149" s="6">
        <f t="shared" ca="1" si="96"/>
        <v>13632.946849315071</v>
      </c>
      <c r="I149" s="6">
        <f t="shared" ca="1" si="96"/>
        <v>16008.06180821918</v>
      </c>
      <c r="J149" s="6">
        <f t="shared" ca="1" si="96"/>
        <v>18426.77322702904</v>
      </c>
      <c r="K149" s="6">
        <f t="shared" ca="1" si="96"/>
        <v>21210.520534627383</v>
      </c>
      <c r="L149" s="6">
        <f t="shared" ca="1" si="96"/>
        <v>23966.953819964423</v>
      </c>
      <c r="M149" s="6">
        <f t="shared" ref="M149:N149" ca="1" si="97">M179</f>
        <v>26962.823047459973</v>
      </c>
      <c r="N149" s="6">
        <f t="shared" ca="1" si="97"/>
        <v>30198.36181315517</v>
      </c>
    </row>
    <row r="150" spans="1:16" x14ac:dyDescent="0.2">
      <c r="C150" s="152" t="s">
        <v>160</v>
      </c>
      <c r="D150" s="6"/>
      <c r="E150" s="6"/>
      <c r="F150" s="73"/>
      <c r="G150" s="6">
        <f t="shared" si="96"/>
        <v>800</v>
      </c>
      <c r="H150" s="6">
        <f t="shared" ca="1" si="96"/>
        <v>925.6</v>
      </c>
      <c r="I150" s="6">
        <f t="shared" ca="1" si="96"/>
        <v>1082.0264000000002</v>
      </c>
      <c r="J150" s="6">
        <f t="shared" ca="1" si="96"/>
        <v>1240.0022544000001</v>
      </c>
      <c r="K150" s="6">
        <f t="shared" ca="1" si="96"/>
        <v>1421.0425835423998</v>
      </c>
      <c r="L150" s="6">
        <f t="shared" ca="1" si="96"/>
        <v>1598.6729064851997</v>
      </c>
      <c r="M150" s="6">
        <f t="shared" ref="M150:N150" ca="1" si="98">M180</f>
        <v>1798.5070197958496</v>
      </c>
      <c r="N150" s="6">
        <f t="shared" ca="1" si="98"/>
        <v>2014.3278621713519</v>
      </c>
    </row>
    <row r="151" spans="1:16" x14ac:dyDescent="0.2">
      <c r="C151" s="152" t="s">
        <v>161</v>
      </c>
      <c r="D151" s="6"/>
      <c r="E151" s="6"/>
      <c r="F151" s="73"/>
      <c r="G151" s="6">
        <f t="shared" si="96"/>
        <v>320</v>
      </c>
      <c r="H151" s="6">
        <f t="shared" ca="1" si="96"/>
        <v>370.24</v>
      </c>
      <c r="I151" s="6">
        <f t="shared" ca="1" si="96"/>
        <v>432.81056000000007</v>
      </c>
      <c r="J151" s="6">
        <f t="shared" ca="1" si="96"/>
        <v>496.00090175999998</v>
      </c>
      <c r="K151" s="6">
        <f t="shared" ca="1" si="96"/>
        <v>568.41703341695995</v>
      </c>
      <c r="L151" s="6">
        <f t="shared" ca="1" si="96"/>
        <v>639.46916259407988</v>
      </c>
      <c r="M151" s="6">
        <f t="shared" ref="M151:N151" ca="1" si="99">M181</f>
        <v>719.40280791833982</v>
      </c>
      <c r="N151" s="6">
        <f t="shared" ca="1" si="99"/>
        <v>805.7311448685407</v>
      </c>
    </row>
    <row r="152" spans="1:16" x14ac:dyDescent="0.2">
      <c r="C152" s="78" t="s">
        <v>162</v>
      </c>
      <c r="D152" s="66"/>
      <c r="E152" s="66"/>
      <c r="F152" s="18"/>
      <c r="G152" s="81">
        <f t="shared" ref="G152:L152" si="100">SUM(G147:G151)</f>
        <v>19510.136986301368</v>
      </c>
      <c r="H152" s="81">
        <f t="shared" ca="1" si="100"/>
        <v>20014.923835616439</v>
      </c>
      <c r="I152" s="81">
        <f t="shared" ca="1" si="100"/>
        <v>23637.592905205482</v>
      </c>
      <c r="J152" s="81">
        <f t="shared" ca="1" si="100"/>
        <v>27316.215864175338</v>
      </c>
      <c r="K152" s="81">
        <f t="shared" ca="1" si="100"/>
        <v>31543.821796797045</v>
      </c>
      <c r="L152" s="81">
        <f t="shared" ca="1" si="100"/>
        <v>35716.917739905293</v>
      </c>
      <c r="M152" s="81">
        <f t="shared" ref="M152:N152" ca="1" si="101">SUM(M147:M151)</f>
        <v>40306.532457393449</v>
      </c>
      <c r="N152" s="81">
        <f t="shared" ca="1" si="101"/>
        <v>45263.316352280664</v>
      </c>
    </row>
    <row r="153" spans="1:16" x14ac:dyDescent="0.2">
      <c r="A153" s="186"/>
      <c r="C153" s="57" t="s">
        <v>163</v>
      </c>
      <c r="D153" s="6"/>
      <c r="E153" s="6"/>
      <c r="F153" s="6"/>
      <c r="G153" s="87">
        <v>6323</v>
      </c>
      <c r="H153" s="6">
        <f ca="1">G153-H109+H117</f>
        <v>6323</v>
      </c>
      <c r="I153" s="6">
        <f t="shared" ref="I153:N153" ca="1" si="102">H153-I109+I117</f>
        <v>6323</v>
      </c>
      <c r="J153" s="6">
        <f t="shared" ca="1" si="102"/>
        <v>6323</v>
      </c>
      <c r="K153" s="6">
        <f t="shared" ca="1" si="102"/>
        <v>6323</v>
      </c>
      <c r="L153" s="6">
        <f t="shared" ca="1" si="102"/>
        <v>6323</v>
      </c>
      <c r="M153" s="6">
        <f t="shared" ca="1" si="102"/>
        <v>6323</v>
      </c>
      <c r="N153" s="6">
        <f t="shared" ca="1" si="102"/>
        <v>6323</v>
      </c>
      <c r="P153" s="207" t="s">
        <v>164</v>
      </c>
    </row>
    <row r="154" spans="1:16" x14ac:dyDescent="0.2">
      <c r="C154" s="57" t="s">
        <v>165</v>
      </c>
      <c r="D154" s="6"/>
      <c r="E154" s="6"/>
      <c r="F154" s="6"/>
      <c r="G154" s="6">
        <f>G168-SUM(G152:G153,G155)</f>
        <v>57863.849315068488</v>
      </c>
      <c r="H154" s="6">
        <f>G154</f>
        <v>57863.849315068488</v>
      </c>
      <c r="I154" s="6">
        <f t="shared" ref="I154:L154" si="103">H154</f>
        <v>57863.849315068488</v>
      </c>
      <c r="J154" s="6">
        <f t="shared" si="103"/>
        <v>57863.849315068488</v>
      </c>
      <c r="K154" s="6">
        <f t="shared" si="103"/>
        <v>57863.849315068488</v>
      </c>
      <c r="L154" s="6">
        <f t="shared" si="103"/>
        <v>57863.849315068488</v>
      </c>
      <c r="M154" s="6">
        <f t="shared" ref="M154" si="104">L154</f>
        <v>57863.849315068488</v>
      </c>
      <c r="N154" s="6">
        <f t="shared" ref="N154" si="105">M154</f>
        <v>57863.849315068488</v>
      </c>
    </row>
    <row r="155" spans="1:16" x14ac:dyDescent="0.2">
      <c r="C155" s="57" t="s">
        <v>166</v>
      </c>
      <c r="D155" s="6"/>
      <c r="E155" s="6"/>
      <c r="F155" s="6"/>
      <c r="G155" s="6">
        <f>E51</f>
        <v>633.36599999999999</v>
      </c>
      <c r="H155" s="6">
        <f t="shared" ref="H155:N155" si="106">G155-H110</f>
        <v>536.12624999999991</v>
      </c>
      <c r="I155" s="6">
        <f t="shared" si="106"/>
        <v>438.8864999999999</v>
      </c>
      <c r="J155" s="6">
        <f t="shared" si="106"/>
        <v>341.64674999999988</v>
      </c>
      <c r="K155" s="6">
        <f t="shared" si="106"/>
        <v>244.40699999999987</v>
      </c>
      <c r="L155" s="6">
        <f t="shared" si="106"/>
        <v>147.16724999999985</v>
      </c>
      <c r="M155" s="6">
        <f t="shared" si="106"/>
        <v>49.927499999999881</v>
      </c>
      <c r="N155" s="6">
        <f t="shared" si="106"/>
        <v>24.963749999999859</v>
      </c>
    </row>
    <row r="156" spans="1:16" x14ac:dyDescent="0.2">
      <c r="C156" s="153" t="s">
        <v>167</v>
      </c>
      <c r="D156" s="12"/>
      <c r="E156" s="12"/>
      <c r="F156" s="12"/>
      <c r="G156" s="10">
        <f t="shared" ref="G156:L156" si="107">SUM(G152:G155)</f>
        <v>84330.352301369843</v>
      </c>
      <c r="H156" s="10">
        <f t="shared" ca="1" si="107"/>
        <v>84737.899400684924</v>
      </c>
      <c r="I156" s="10">
        <f t="shared" ca="1" si="107"/>
        <v>88263.328720273959</v>
      </c>
      <c r="J156" s="10">
        <f t="shared" ca="1" si="107"/>
        <v>91844.711929243829</v>
      </c>
      <c r="K156" s="10">
        <f t="shared" ca="1" si="107"/>
        <v>95975.078111865529</v>
      </c>
      <c r="L156" s="10">
        <f t="shared" ca="1" si="107"/>
        <v>100050.93430497378</v>
      </c>
      <c r="M156" s="10">
        <f t="shared" ref="M156" ca="1" si="108">SUM(M152:M155)</f>
        <v>104543.30927246193</v>
      </c>
      <c r="N156" s="10">
        <f t="shared" ref="N156" ca="1" si="109">SUM(N152:N155)</f>
        <v>109475.12941734915</v>
      </c>
    </row>
    <row r="157" spans="1:16" ht="5" customHeight="1" x14ac:dyDescent="0.2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6" x14ac:dyDescent="0.2">
      <c r="C158" s="9" t="s">
        <v>168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6" x14ac:dyDescent="0.2">
      <c r="C159" s="69" t="s">
        <v>169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6" x14ac:dyDescent="0.2">
      <c r="C160" s="152" t="s">
        <v>170</v>
      </c>
      <c r="D160" s="6"/>
      <c r="E160" s="6"/>
      <c r="F160" s="73"/>
      <c r="G160" s="6">
        <f>G185</f>
        <v>1212.986301369863</v>
      </c>
      <c r="H160" s="6">
        <f t="shared" ref="H160:L160" ca="1" si="110">H185</f>
        <v>1363.2946849315069</v>
      </c>
      <c r="I160" s="6">
        <f t="shared" ca="1" si="110"/>
        <v>1600.8061808219179</v>
      </c>
      <c r="J160" s="6">
        <f t="shared" ca="1" si="110"/>
        <v>1842.6773227029039</v>
      </c>
      <c r="K160" s="6">
        <f t="shared" ca="1" si="110"/>
        <v>2121.0520534627381</v>
      </c>
      <c r="L160" s="6">
        <f t="shared" ca="1" si="110"/>
        <v>2396.6953819964424</v>
      </c>
      <c r="M160" s="6">
        <f t="shared" ref="M160:N160" ca="1" si="111">M185</f>
        <v>2696.282304745997</v>
      </c>
      <c r="N160" s="6">
        <f t="shared" ca="1" si="111"/>
        <v>3019.836181315517</v>
      </c>
    </row>
    <row r="161" spans="1:16" x14ac:dyDescent="0.2">
      <c r="C161" s="152" t="s">
        <v>171</v>
      </c>
      <c r="D161" s="6"/>
      <c r="E161" s="6"/>
      <c r="F161" s="73"/>
      <c r="G161" s="6">
        <f>G186</f>
        <v>1600</v>
      </c>
      <c r="H161" s="6">
        <f t="shared" ref="H161:L161" ca="1" si="112">H186</f>
        <v>1851.2</v>
      </c>
      <c r="I161" s="6">
        <f t="shared" ca="1" si="112"/>
        <v>2164.0528000000004</v>
      </c>
      <c r="J161" s="6">
        <f t="shared" ca="1" si="112"/>
        <v>2480.0045088000002</v>
      </c>
      <c r="K161" s="6">
        <f t="shared" ca="1" si="112"/>
        <v>2842.0851670847997</v>
      </c>
      <c r="L161" s="6">
        <f t="shared" ca="1" si="112"/>
        <v>3197.3458129703995</v>
      </c>
      <c r="M161" s="6">
        <f t="shared" ref="M161:N161" ca="1" si="113">M186</f>
        <v>3597.0140395916992</v>
      </c>
      <c r="N161" s="6">
        <f t="shared" ca="1" si="113"/>
        <v>4028.6557243427037</v>
      </c>
    </row>
    <row r="162" spans="1:16" x14ac:dyDescent="0.2">
      <c r="C162" s="78" t="s">
        <v>172</v>
      </c>
      <c r="D162" s="66"/>
      <c r="E162" s="66"/>
      <c r="F162" s="18"/>
      <c r="G162" s="81">
        <f t="shared" ref="G162:L162" si="114">SUM(G160:G161)</f>
        <v>2812.9863013698632</v>
      </c>
      <c r="H162" s="81">
        <f t="shared" ca="1" si="114"/>
        <v>3214.494684931507</v>
      </c>
      <c r="I162" s="81">
        <f t="shared" ca="1" si="114"/>
        <v>3764.8589808219185</v>
      </c>
      <c r="J162" s="81">
        <f t="shared" ca="1" si="114"/>
        <v>4322.6818315029041</v>
      </c>
      <c r="K162" s="81">
        <f t="shared" ca="1" si="114"/>
        <v>4963.1372205475382</v>
      </c>
      <c r="L162" s="81">
        <f t="shared" ca="1" si="114"/>
        <v>5594.0411949668414</v>
      </c>
      <c r="M162" s="81">
        <f t="shared" ref="M162:N162" ca="1" si="115">SUM(M160:M161)</f>
        <v>6293.2963443376957</v>
      </c>
      <c r="N162" s="81">
        <f t="shared" ca="1" si="115"/>
        <v>7048.4919056582203</v>
      </c>
    </row>
    <row r="163" spans="1:16" x14ac:dyDescent="0.2">
      <c r="C163" s="57" t="s">
        <v>48</v>
      </c>
      <c r="D163" s="6"/>
      <c r="E163" s="6"/>
      <c r="F163" s="6"/>
      <c r="G163" s="6">
        <f>G213</f>
        <v>0</v>
      </c>
      <c r="H163" s="6">
        <f t="shared" ref="H163:L163" ca="1" si="116">H213</f>
        <v>1755.2878784734282</v>
      </c>
      <c r="I163" s="6">
        <f t="shared" ca="1" si="116"/>
        <v>5133.9588344280592</v>
      </c>
      <c r="J163" s="6">
        <f t="shared" ca="1" si="116"/>
        <v>7299.0175476453151</v>
      </c>
      <c r="K163" s="6">
        <f t="shared" ca="1" si="116"/>
        <v>8398.4095147814423</v>
      </c>
      <c r="L163" s="6">
        <f t="shared" ca="1" si="116"/>
        <v>13936.7223059279</v>
      </c>
      <c r="M163" s="6">
        <f t="shared" ref="M163:N163" ca="1" si="117">M213</f>
        <v>34617.052851519904</v>
      </c>
      <c r="N163" s="6">
        <f t="shared" ca="1" si="117"/>
        <v>29702.22520067426</v>
      </c>
    </row>
    <row r="164" spans="1:16" x14ac:dyDescent="0.2">
      <c r="C164" s="57" t="s">
        <v>52</v>
      </c>
      <c r="D164" s="6"/>
      <c r="E164" s="6"/>
      <c r="F164" s="6"/>
      <c r="G164" s="6">
        <f>G224</f>
        <v>31953.599999999999</v>
      </c>
      <c r="H164" s="6">
        <f t="shared" ref="H164:L164" si="118">H224</f>
        <v>30355.919999999998</v>
      </c>
      <c r="I164" s="6">
        <f t="shared" si="118"/>
        <v>28758.239999999998</v>
      </c>
      <c r="J164" s="6">
        <f t="shared" si="118"/>
        <v>27160.559999999998</v>
      </c>
      <c r="K164" s="6">
        <f t="shared" si="118"/>
        <v>25562.879999999997</v>
      </c>
      <c r="L164" s="6">
        <f t="shared" si="118"/>
        <v>23965.199999999997</v>
      </c>
      <c r="M164" s="6">
        <f t="shared" ref="M164:N164" si="119">M224</f>
        <v>0</v>
      </c>
      <c r="N164" s="6">
        <f t="shared" si="119"/>
        <v>0</v>
      </c>
    </row>
    <row r="165" spans="1:16" x14ac:dyDescent="0.2">
      <c r="C165" s="57" t="s">
        <v>173</v>
      </c>
      <c r="D165" s="6"/>
      <c r="E165" s="6"/>
      <c r="F165" s="6"/>
      <c r="G165" s="6">
        <f>G232</f>
        <v>19971</v>
      </c>
      <c r="H165" s="6">
        <f t="shared" ref="H165:L165" si="120">H232</f>
        <v>19971</v>
      </c>
      <c r="I165" s="6">
        <f t="shared" si="120"/>
        <v>19971</v>
      </c>
      <c r="J165" s="6">
        <f t="shared" si="120"/>
        <v>19971</v>
      </c>
      <c r="K165" s="6">
        <f t="shared" si="120"/>
        <v>19971</v>
      </c>
      <c r="L165" s="6">
        <f t="shared" si="120"/>
        <v>19971</v>
      </c>
      <c r="M165" s="6">
        <f t="shared" ref="M165:N165" si="121">M232</f>
        <v>19971</v>
      </c>
      <c r="N165" s="6">
        <f t="shared" si="121"/>
        <v>19971</v>
      </c>
    </row>
    <row r="166" spans="1:16" x14ac:dyDescent="0.2">
      <c r="C166" s="57" t="s">
        <v>174</v>
      </c>
      <c r="D166" s="6"/>
      <c r="E166" s="6"/>
      <c r="F166" s="6"/>
      <c r="G166" s="6">
        <f>G241</f>
        <v>5706</v>
      </c>
      <c r="H166" s="6">
        <f t="shared" ref="H166:L166" si="122">H241</f>
        <v>5706</v>
      </c>
      <c r="I166" s="6">
        <f t="shared" si="122"/>
        <v>5706</v>
      </c>
      <c r="J166" s="6">
        <f t="shared" si="122"/>
        <v>5706</v>
      </c>
      <c r="K166" s="6">
        <f t="shared" si="122"/>
        <v>5706</v>
      </c>
      <c r="L166" s="6">
        <f t="shared" si="122"/>
        <v>0</v>
      </c>
      <c r="M166" s="6">
        <f t="shared" ref="M166:N166" si="123">M241</f>
        <v>0</v>
      </c>
      <c r="N166" s="6">
        <f t="shared" si="123"/>
        <v>0</v>
      </c>
    </row>
    <row r="167" spans="1:16" x14ac:dyDescent="0.2">
      <c r="C167" s="57" t="s">
        <v>175</v>
      </c>
      <c r="D167" s="6"/>
      <c r="E167" s="6"/>
      <c r="F167" s="6"/>
      <c r="G167" s="6">
        <f>SUM(E40:E41)-E50</f>
        <v>23886.765999999996</v>
      </c>
      <c r="H167" s="6">
        <f t="shared" ref="H167:N167" ca="1" si="124">G167+H115</f>
        <v>23735.196837279997</v>
      </c>
      <c r="I167" s="6">
        <f t="shared" ca="1" si="124"/>
        <v>24929.270905023994</v>
      </c>
      <c r="J167" s="6">
        <f t="shared" ca="1" si="124"/>
        <v>27385.452550095608</v>
      </c>
      <c r="K167" s="6">
        <f t="shared" ca="1" si="124"/>
        <v>31373.651376536556</v>
      </c>
      <c r="L167" s="6">
        <f t="shared" ca="1" si="124"/>
        <v>36583.970804079043</v>
      </c>
      <c r="M167" s="6">
        <f t="shared" ca="1" si="124"/>
        <v>43661.960076604337</v>
      </c>
      <c r="N167" s="6">
        <f t="shared" ca="1" si="124"/>
        <v>52753.412311016669</v>
      </c>
    </row>
    <row r="168" spans="1:16" x14ac:dyDescent="0.2">
      <c r="C168" s="153" t="s">
        <v>176</v>
      </c>
      <c r="D168" s="12"/>
      <c r="E168" s="12"/>
      <c r="F168" s="12"/>
      <c r="G168" s="10">
        <f t="shared" ref="G168:L168" si="125">SUM(G162:G167)</f>
        <v>84330.352301369858</v>
      </c>
      <c r="H168" s="10">
        <f t="shared" ca="1" si="125"/>
        <v>84737.899400684924</v>
      </c>
      <c r="I168" s="10">
        <f t="shared" ca="1" si="125"/>
        <v>88263.328720273974</v>
      </c>
      <c r="J168" s="10">
        <f t="shared" ca="1" si="125"/>
        <v>91844.711929243829</v>
      </c>
      <c r="K168" s="10">
        <f t="shared" ca="1" si="125"/>
        <v>95975.078111865529</v>
      </c>
      <c r="L168" s="10">
        <f t="shared" ca="1" si="125"/>
        <v>100050.93430497378</v>
      </c>
      <c r="M168" s="10">
        <f t="shared" ref="M168" ca="1" si="126">SUM(M162:M167)</f>
        <v>104543.30927246193</v>
      </c>
      <c r="N168" s="10">
        <f t="shared" ref="N168" ca="1" si="127">SUM(N162:N167)</f>
        <v>109475.12941734915</v>
      </c>
    </row>
    <row r="169" spans="1:16" ht="5" customHeight="1" x14ac:dyDescent="0.2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6" s="18" customFormat="1" x14ac:dyDescent="0.2">
      <c r="C170" s="90" t="s">
        <v>177</v>
      </c>
      <c r="D170" s="91"/>
      <c r="E170" s="91"/>
      <c r="F170" s="91"/>
      <c r="G170" s="91">
        <f t="shared" ref="G170:L170" si="128">G156-G168</f>
        <v>0</v>
      </c>
      <c r="H170" s="91">
        <f t="shared" ca="1" si="128"/>
        <v>0</v>
      </c>
      <c r="I170" s="91">
        <f t="shared" ca="1" si="128"/>
        <v>0</v>
      </c>
      <c r="J170" s="91">
        <f t="shared" ca="1" si="128"/>
        <v>0</v>
      </c>
      <c r="K170" s="91">
        <f t="shared" ca="1" si="128"/>
        <v>0</v>
      </c>
      <c r="L170" s="91">
        <f t="shared" ca="1" si="128"/>
        <v>0</v>
      </c>
      <c r="M170" s="91">
        <f t="shared" ref="M170:N170" ca="1" si="129">M156-M168</f>
        <v>0</v>
      </c>
      <c r="N170" s="91">
        <f t="shared" ca="1" si="129"/>
        <v>0</v>
      </c>
    </row>
    <row r="171" spans="1:16" s="18" customFormat="1" x14ac:dyDescent="0.2">
      <c r="C171" s="92" t="s">
        <v>178</v>
      </c>
      <c r="D171" s="91"/>
      <c r="E171" s="91"/>
      <c r="F171" s="91"/>
      <c r="G171" s="91">
        <f t="shared" ref="G171:L171" si="130">G170/2</f>
        <v>0</v>
      </c>
      <c r="H171" s="91">
        <f t="shared" ca="1" si="130"/>
        <v>0</v>
      </c>
      <c r="I171" s="91">
        <f t="shared" ca="1" si="130"/>
        <v>0</v>
      </c>
      <c r="J171" s="91">
        <f t="shared" ca="1" si="130"/>
        <v>0</v>
      </c>
      <c r="K171" s="91">
        <f t="shared" ca="1" si="130"/>
        <v>0</v>
      </c>
      <c r="L171" s="91">
        <f t="shared" ca="1" si="130"/>
        <v>0</v>
      </c>
      <c r="M171" s="91">
        <f t="shared" ref="M171:N171" ca="1" si="131">M170/2</f>
        <v>0</v>
      </c>
      <c r="N171" s="91">
        <f t="shared" ca="1" si="131"/>
        <v>0</v>
      </c>
    </row>
    <row r="172" spans="1:16" s="18" customFormat="1" ht="14.5" customHeight="1" x14ac:dyDescent="0.2">
      <c r="C172" s="92" t="s">
        <v>179</v>
      </c>
      <c r="D172" s="93"/>
      <c r="E172" s="91"/>
      <c r="F172" s="93"/>
      <c r="G172" s="93" t="s">
        <v>50</v>
      </c>
      <c r="H172" s="91">
        <f t="shared" ref="H172:L172" ca="1" si="132">H170-G170</f>
        <v>0</v>
      </c>
      <c r="I172" s="91">
        <f t="shared" ca="1" si="132"/>
        <v>0</v>
      </c>
      <c r="J172" s="91">
        <f t="shared" ca="1" si="132"/>
        <v>0</v>
      </c>
      <c r="K172" s="91">
        <f t="shared" ca="1" si="132"/>
        <v>0</v>
      </c>
      <c r="L172" s="91">
        <f t="shared" ca="1" si="132"/>
        <v>0</v>
      </c>
      <c r="M172" s="91">
        <f t="shared" ref="M172" ca="1" si="133">M170-L170</f>
        <v>0</v>
      </c>
      <c r="N172" s="91">
        <f t="shared" ref="N172" ca="1" si="134">N170-M170</f>
        <v>0</v>
      </c>
    </row>
    <row r="173" spans="1:16" ht="10.25" customHeight="1" x14ac:dyDescent="0.2"/>
    <row r="174" spans="1:16" ht="18" x14ac:dyDescent="0.35">
      <c r="A174" t="s">
        <v>15</v>
      </c>
      <c r="C174" s="108" t="s">
        <v>180</v>
      </c>
      <c r="D174" s="109"/>
      <c r="E174" s="109"/>
      <c r="F174" s="109" t="s">
        <v>114</v>
      </c>
      <c r="G174" s="109" t="s">
        <v>77</v>
      </c>
      <c r="H174" s="109" t="s">
        <v>78</v>
      </c>
      <c r="I174" s="109"/>
      <c r="J174" s="109"/>
      <c r="K174" s="109"/>
      <c r="L174" s="109"/>
      <c r="M174" s="109"/>
      <c r="N174" s="109"/>
      <c r="P174" s="109"/>
    </row>
    <row r="175" spans="1:16" ht="18" x14ac:dyDescent="0.35">
      <c r="C175" s="110" t="s">
        <v>79</v>
      </c>
      <c r="D175" s="111"/>
      <c r="E175" s="111"/>
      <c r="F175" s="111" t="s">
        <v>117</v>
      </c>
      <c r="G175" s="111" t="s">
        <v>80</v>
      </c>
      <c r="H175" s="111" t="s">
        <v>81</v>
      </c>
      <c r="I175" s="111" t="s">
        <v>82</v>
      </c>
      <c r="J175" s="111" t="s">
        <v>83</v>
      </c>
      <c r="K175" s="111" t="s">
        <v>84</v>
      </c>
      <c r="L175" s="111" t="s">
        <v>85</v>
      </c>
      <c r="M175" s="111" t="s">
        <v>86</v>
      </c>
      <c r="N175" s="111" t="s">
        <v>87</v>
      </c>
      <c r="P175" s="114" t="s">
        <v>17</v>
      </c>
    </row>
    <row r="176" spans="1:16" ht="5" customHeight="1" x14ac:dyDescent="0.2"/>
    <row r="177" spans="3:14" ht="14.5" customHeight="1" x14ac:dyDescent="0.2">
      <c r="C177" s="9" t="s">
        <v>156</v>
      </c>
    </row>
    <row r="178" spans="3:14" ht="14.5" customHeight="1" x14ac:dyDescent="0.2">
      <c r="C178" t="s">
        <v>158</v>
      </c>
      <c r="G178" s="6">
        <f t="shared" ref="G178:N178" si="135">G98*G195/365</f>
        <v>5260.2739726027394</v>
      </c>
      <c r="H178" s="6">
        <f t="shared" ca="1" si="135"/>
        <v>6086.1369863013697</v>
      </c>
      <c r="I178" s="6">
        <f t="shared" ca="1" si="135"/>
        <v>7114.6941369863025</v>
      </c>
      <c r="J178" s="6">
        <f t="shared" ca="1" si="135"/>
        <v>8153.4394809863006</v>
      </c>
      <c r="K178" s="6">
        <f t="shared" ca="1" si="135"/>
        <v>9343.8416452102992</v>
      </c>
      <c r="L178" s="6">
        <f t="shared" ca="1" si="135"/>
        <v>10511.821850861586</v>
      </c>
      <c r="M178" s="6">
        <f t="shared" ca="1" si="135"/>
        <v>11825.799582219284</v>
      </c>
      <c r="N178" s="6">
        <f t="shared" ca="1" si="135"/>
        <v>13244.8955320856</v>
      </c>
    </row>
    <row r="179" spans="3:14" ht="14.5" customHeight="1" x14ac:dyDescent="0.2">
      <c r="C179" t="s">
        <v>159</v>
      </c>
      <c r="G179" s="6">
        <f t="shared" ref="G179:N179" si="136">SUM(G100,G103)*G196/365</f>
        <v>12129.86301369863</v>
      </c>
      <c r="H179" s="6">
        <f t="shared" ca="1" si="136"/>
        <v>13632.946849315071</v>
      </c>
      <c r="I179" s="6">
        <f t="shared" ca="1" si="136"/>
        <v>16008.06180821918</v>
      </c>
      <c r="J179" s="6">
        <f t="shared" ca="1" si="136"/>
        <v>18426.77322702904</v>
      </c>
      <c r="K179" s="6">
        <f t="shared" ca="1" si="136"/>
        <v>21210.520534627383</v>
      </c>
      <c r="L179" s="6">
        <f t="shared" ca="1" si="136"/>
        <v>23966.953819964423</v>
      </c>
      <c r="M179" s="6">
        <f t="shared" ca="1" si="136"/>
        <v>26962.823047459973</v>
      </c>
      <c r="N179" s="6">
        <f t="shared" ca="1" si="136"/>
        <v>30198.36181315517</v>
      </c>
    </row>
    <row r="180" spans="3:14" ht="14.5" customHeight="1" x14ac:dyDescent="0.2">
      <c r="C180" t="s">
        <v>160</v>
      </c>
      <c r="G180" s="6">
        <f t="shared" ref="G180:N180" si="137">G98*G200</f>
        <v>800</v>
      </c>
      <c r="H180" s="6">
        <f t="shared" ca="1" si="137"/>
        <v>925.6</v>
      </c>
      <c r="I180" s="6">
        <f t="shared" ca="1" si="137"/>
        <v>1082.0264000000002</v>
      </c>
      <c r="J180" s="6">
        <f t="shared" ca="1" si="137"/>
        <v>1240.0022544000001</v>
      </c>
      <c r="K180" s="6">
        <f t="shared" ca="1" si="137"/>
        <v>1421.0425835423998</v>
      </c>
      <c r="L180" s="6">
        <f t="shared" ca="1" si="137"/>
        <v>1598.6729064851997</v>
      </c>
      <c r="M180" s="6">
        <f t="shared" ca="1" si="137"/>
        <v>1798.5070197958496</v>
      </c>
      <c r="N180" s="6">
        <f t="shared" ca="1" si="137"/>
        <v>2014.3278621713519</v>
      </c>
    </row>
    <row r="181" spans="3:14" ht="14.5" customHeight="1" x14ac:dyDescent="0.2">
      <c r="C181" t="s">
        <v>161</v>
      </c>
      <c r="G181" s="6">
        <f t="shared" ref="G181:N181" si="138">G98*G201</f>
        <v>320</v>
      </c>
      <c r="H181" s="6">
        <f t="shared" ca="1" si="138"/>
        <v>370.24</v>
      </c>
      <c r="I181" s="6">
        <f t="shared" ca="1" si="138"/>
        <v>432.81056000000007</v>
      </c>
      <c r="J181" s="6">
        <f t="shared" ca="1" si="138"/>
        <v>496.00090175999998</v>
      </c>
      <c r="K181" s="6">
        <f t="shared" ca="1" si="138"/>
        <v>568.41703341695995</v>
      </c>
      <c r="L181" s="6">
        <f t="shared" ca="1" si="138"/>
        <v>639.46916259407988</v>
      </c>
      <c r="M181" s="6">
        <f t="shared" ca="1" si="138"/>
        <v>719.40280791833982</v>
      </c>
      <c r="N181" s="6">
        <f t="shared" ca="1" si="138"/>
        <v>805.7311448685407</v>
      </c>
    </row>
    <row r="182" spans="3:14" ht="14.5" customHeight="1" x14ac:dyDescent="0.2">
      <c r="C182" s="9" t="s">
        <v>162</v>
      </c>
      <c r="F182" s="74">
        <f>QofNWC!C5</f>
        <v>21707</v>
      </c>
      <c r="G182" s="8">
        <f>SUM(G178:G181)</f>
        <v>18510.136986301368</v>
      </c>
      <c r="H182" s="8">
        <f t="shared" ref="H182:L182" ca="1" si="139">SUM(H178:H181)</f>
        <v>21014.923835616439</v>
      </c>
      <c r="I182" s="8">
        <f t="shared" ca="1" si="139"/>
        <v>24637.592905205482</v>
      </c>
      <c r="J182" s="8">
        <f t="shared" ca="1" si="139"/>
        <v>28316.215864175338</v>
      </c>
      <c r="K182" s="8">
        <f t="shared" ca="1" si="139"/>
        <v>32543.821796797045</v>
      </c>
      <c r="L182" s="8">
        <f t="shared" ca="1" si="139"/>
        <v>36716.917739905293</v>
      </c>
      <c r="M182" s="8">
        <f t="shared" ref="M182:N182" ca="1" si="140">SUM(M178:M181)</f>
        <v>41306.532457393449</v>
      </c>
      <c r="N182" s="8">
        <f t="shared" ca="1" si="140"/>
        <v>46263.316352280664</v>
      </c>
    </row>
    <row r="183" spans="3:14" ht="5" customHeight="1" x14ac:dyDescent="0.2"/>
    <row r="184" spans="3:14" ht="14.5" customHeight="1" x14ac:dyDescent="0.2">
      <c r="C184" s="9" t="s">
        <v>169</v>
      </c>
    </row>
    <row r="185" spans="3:14" ht="14.5" customHeight="1" x14ac:dyDescent="0.2">
      <c r="C185" t="s">
        <v>170</v>
      </c>
      <c r="G185" s="6">
        <f t="shared" ref="G185:N185" si="141">SUM(G100,G103)*G197/365</f>
        <v>1212.986301369863</v>
      </c>
      <c r="H185" s="6">
        <f t="shared" ca="1" si="141"/>
        <v>1363.2946849315069</v>
      </c>
      <c r="I185" s="6">
        <f t="shared" ca="1" si="141"/>
        <v>1600.8061808219179</v>
      </c>
      <c r="J185" s="6">
        <f t="shared" ca="1" si="141"/>
        <v>1842.6773227029039</v>
      </c>
      <c r="K185" s="6">
        <f t="shared" ca="1" si="141"/>
        <v>2121.0520534627381</v>
      </c>
      <c r="L185" s="6">
        <f t="shared" ca="1" si="141"/>
        <v>2396.6953819964424</v>
      </c>
      <c r="M185" s="6">
        <f t="shared" ca="1" si="141"/>
        <v>2696.282304745997</v>
      </c>
      <c r="N185" s="6">
        <f t="shared" ca="1" si="141"/>
        <v>3019.836181315517</v>
      </c>
    </row>
    <row r="186" spans="3:14" ht="14.5" customHeight="1" x14ac:dyDescent="0.2">
      <c r="C186" t="s">
        <v>171</v>
      </c>
      <c r="G186" s="6">
        <f t="shared" ref="G186:N186" si="142">G98*G202</f>
        <v>1600</v>
      </c>
      <c r="H186" s="6">
        <f t="shared" ca="1" si="142"/>
        <v>1851.2</v>
      </c>
      <c r="I186" s="6">
        <f t="shared" ca="1" si="142"/>
        <v>2164.0528000000004</v>
      </c>
      <c r="J186" s="6">
        <f t="shared" ca="1" si="142"/>
        <v>2480.0045088000002</v>
      </c>
      <c r="K186" s="6">
        <f t="shared" ca="1" si="142"/>
        <v>2842.0851670847997</v>
      </c>
      <c r="L186" s="6">
        <f t="shared" ca="1" si="142"/>
        <v>3197.3458129703995</v>
      </c>
      <c r="M186" s="6">
        <f t="shared" ca="1" si="142"/>
        <v>3597.0140395916992</v>
      </c>
      <c r="N186" s="6">
        <f t="shared" ca="1" si="142"/>
        <v>4028.6557243427037</v>
      </c>
    </row>
    <row r="187" spans="3:14" ht="14.75" customHeight="1" x14ac:dyDescent="0.2">
      <c r="C187" s="9" t="s">
        <v>172</v>
      </c>
      <c r="F187" s="74">
        <f>QofNWC!C6</f>
        <v>6163</v>
      </c>
      <c r="G187" s="8">
        <f t="shared" ref="G187:L187" si="143">SUM(G185:G186)</f>
        <v>2812.9863013698632</v>
      </c>
      <c r="H187" s="8">
        <f t="shared" ca="1" si="143"/>
        <v>3214.494684931507</v>
      </c>
      <c r="I187" s="8">
        <f t="shared" ca="1" si="143"/>
        <v>3764.8589808219185</v>
      </c>
      <c r="J187" s="8">
        <f t="shared" ca="1" si="143"/>
        <v>4322.6818315029041</v>
      </c>
      <c r="K187" s="8">
        <f t="shared" ca="1" si="143"/>
        <v>4963.1372205475382</v>
      </c>
      <c r="L187" s="8">
        <f t="shared" ca="1" si="143"/>
        <v>5594.0411949668414</v>
      </c>
      <c r="M187" s="8">
        <f t="shared" ref="M187:N187" ca="1" si="144">SUM(M185:M186)</f>
        <v>6293.2963443376957</v>
      </c>
      <c r="N187" s="8">
        <f t="shared" ca="1" si="144"/>
        <v>7048.4919056582203</v>
      </c>
    </row>
    <row r="188" spans="3:14" ht="5" customHeight="1" x14ac:dyDescent="0.2"/>
    <row r="189" spans="3:14" ht="14.5" customHeight="1" x14ac:dyDescent="0.2">
      <c r="C189" s="9" t="s">
        <v>181</v>
      </c>
      <c r="F189" s="10">
        <f>F182-F187</f>
        <v>15544</v>
      </c>
      <c r="G189" s="10">
        <f t="shared" ref="G189:L189" si="145">G182-G187</f>
        <v>15697.150684931505</v>
      </c>
      <c r="H189" s="10">
        <f t="shared" ca="1" si="145"/>
        <v>17800.429150684933</v>
      </c>
      <c r="I189" s="10">
        <f t="shared" ca="1" si="145"/>
        <v>20872.733924383563</v>
      </c>
      <c r="J189" s="10">
        <f t="shared" ca="1" si="145"/>
        <v>23993.534032672433</v>
      </c>
      <c r="K189" s="10">
        <f t="shared" ca="1" si="145"/>
        <v>27580.684576249507</v>
      </c>
      <c r="L189" s="10">
        <f t="shared" ca="1" si="145"/>
        <v>31122.876544938452</v>
      </c>
      <c r="M189" s="10">
        <f t="shared" ref="M189:N189" ca="1" si="146">M182-M187</f>
        <v>35013.236113055755</v>
      </c>
      <c r="N189" s="10">
        <f t="shared" ca="1" si="146"/>
        <v>39214.824446622442</v>
      </c>
    </row>
    <row r="190" spans="3:14" ht="14.5" customHeight="1" x14ac:dyDescent="0.2">
      <c r="C190" s="9" t="s">
        <v>182</v>
      </c>
      <c r="F190" s="31">
        <f t="shared" ref="F190" si="147">IFERROR(F189/F$98,"NM ")</f>
        <v>0.56496928724602913</v>
      </c>
      <c r="G190" s="31">
        <f t="shared" ref="G190" si="148">IFERROR(G189/G$98,"NM ")</f>
        <v>0.4905359589041095</v>
      </c>
      <c r="H190" s="31">
        <f t="shared" ref="H190" ca="1" si="149">IFERROR(H189/H$98,"NM ")</f>
        <v>0.48078082191780824</v>
      </c>
      <c r="I190" s="31">
        <f t="shared" ref="I190" ca="1" si="150">IFERROR(I189/I$98,"NM ")</f>
        <v>0.48226027397260274</v>
      </c>
      <c r="J190" s="31">
        <f t="shared" ref="J190" ca="1" si="151">IFERROR(J189/J$98,"NM ")</f>
        <v>0.48373972602739718</v>
      </c>
      <c r="K190" s="31">
        <f t="shared" ref="K190" ca="1" si="152">IFERROR(K189/K$98,"NM ")</f>
        <v>0.48521917808219189</v>
      </c>
      <c r="L190" s="31">
        <f t="shared" ref="L190:N190" ca="1" si="153">IFERROR(L189/L$98,"NM ")</f>
        <v>0.48669863013698639</v>
      </c>
      <c r="M190" s="31">
        <f t="shared" ca="1" si="153"/>
        <v>0.48669863013698639</v>
      </c>
      <c r="N190" s="31">
        <f t="shared" ca="1" si="153"/>
        <v>0.48669863013698628</v>
      </c>
    </row>
    <row r="191" spans="3:14" ht="5" customHeight="1" x14ac:dyDescent="0.2"/>
    <row r="192" spans="3:14" ht="14.5" customHeight="1" x14ac:dyDescent="0.2">
      <c r="C192" s="9" t="s">
        <v>144</v>
      </c>
      <c r="F192" s="75" t="s">
        <v>50</v>
      </c>
      <c r="G192" s="12">
        <f>F189-G189</f>
        <v>-153.15068493150466</v>
      </c>
      <c r="H192" s="12">
        <f t="shared" ref="H192:L192" ca="1" si="154">G189-H189</f>
        <v>-2103.2784657534285</v>
      </c>
      <c r="I192" s="12">
        <f t="shared" ca="1" si="154"/>
        <v>-3072.30477369863</v>
      </c>
      <c r="J192" s="12">
        <f t="shared" ca="1" si="154"/>
        <v>-3120.8001082888695</v>
      </c>
      <c r="K192" s="12">
        <f t="shared" ca="1" si="154"/>
        <v>-3587.1505435770741</v>
      </c>
      <c r="L192" s="12">
        <f t="shared" ca="1" si="154"/>
        <v>-3542.1919686889451</v>
      </c>
      <c r="M192" s="12">
        <f t="shared" ref="M192" ca="1" si="155">L189-M189</f>
        <v>-3890.3595681173028</v>
      </c>
      <c r="N192" s="12">
        <f t="shared" ref="N192" ca="1" si="156">M189-N189</f>
        <v>-4201.5883335666877</v>
      </c>
    </row>
    <row r="193" spans="1:16" ht="14.5" customHeight="1" x14ac:dyDescent="0.2">
      <c r="C193" s="9" t="s">
        <v>183</v>
      </c>
      <c r="F193" s="31" t="str">
        <f t="shared" ref="F193" si="157">IFERROR(F192/F$98,"NM ")</f>
        <v xml:space="preserve">NM </v>
      </c>
      <c r="G193" s="31">
        <f t="shared" ref="G193" si="158">IFERROR(G192/G$98,"NM ")</f>
        <v>-4.7859589041095206E-3</v>
      </c>
      <c r="H193" s="31">
        <f t="shared" ref="H193" ca="1" si="159">IFERROR(H192/H$98,"NM ")</f>
        <v>-5.6808515172683351E-2</v>
      </c>
      <c r="I193" s="31">
        <f t="shared" ref="I193" ca="1" si="160">IFERROR(I192/I$98,"NM ")</f>
        <v>-7.0984977208010586E-2</v>
      </c>
      <c r="J193" s="31">
        <f t="shared" ref="J193" ca="1" si="161">IFERROR(J192/J$98,"NM ")</f>
        <v>-6.2919242630710609E-2</v>
      </c>
      <c r="K193" s="31">
        <f t="shared" ref="K193" ca="1" si="162">IFERROR(K192/K$98,"NM ")</f>
        <v>-6.3107724306103521E-2</v>
      </c>
      <c r="L193" s="31">
        <f t="shared" ref="L193:N193" ca="1" si="163">IFERROR(L192/L$98,"NM ")</f>
        <v>-5.5392694063926988E-2</v>
      </c>
      <c r="M193" s="31">
        <f t="shared" ca="1" si="163"/>
        <v>-5.4077625570776222E-2</v>
      </c>
      <c r="N193" s="31">
        <f t="shared" ca="1" si="163"/>
        <v>-5.2146281800391353E-2</v>
      </c>
    </row>
    <row r="194" spans="1:16" ht="5" customHeight="1" x14ac:dyDescent="0.2"/>
    <row r="195" spans="1:16" ht="14.5" customHeight="1" x14ac:dyDescent="0.2">
      <c r="A195" s="186"/>
      <c r="C195" t="s">
        <v>184</v>
      </c>
      <c r="F195" s="76"/>
      <c r="G195" s="95">
        <v>60</v>
      </c>
      <c r="H195" s="95">
        <v>60</v>
      </c>
      <c r="I195" s="95">
        <v>60</v>
      </c>
      <c r="J195" s="95">
        <v>60</v>
      </c>
      <c r="K195" s="95">
        <v>60</v>
      </c>
      <c r="L195" s="95">
        <v>60</v>
      </c>
      <c r="M195" s="95">
        <v>60</v>
      </c>
      <c r="N195" s="95">
        <v>60</v>
      </c>
      <c r="P195" t="s">
        <v>185</v>
      </c>
    </row>
    <row r="196" spans="1:16" ht="14.5" customHeight="1" x14ac:dyDescent="0.2">
      <c r="A196" s="186"/>
      <c r="C196" t="s">
        <v>186</v>
      </c>
      <c r="F196" s="76"/>
      <c r="G196" s="95">
        <v>300</v>
      </c>
      <c r="H196" s="95">
        <v>300</v>
      </c>
      <c r="I196" s="95">
        <v>300</v>
      </c>
      <c r="J196" s="95">
        <v>300</v>
      </c>
      <c r="K196" s="95">
        <v>300</v>
      </c>
      <c r="L196" s="95">
        <v>300</v>
      </c>
      <c r="M196" s="95">
        <v>300</v>
      </c>
      <c r="N196" s="95">
        <v>300</v>
      </c>
      <c r="P196" t="s">
        <v>433</v>
      </c>
    </row>
    <row r="197" spans="1:16" ht="14.5" customHeight="1" x14ac:dyDescent="0.2">
      <c r="A197" s="186"/>
      <c r="C197" t="s">
        <v>187</v>
      </c>
      <c r="F197" s="76"/>
      <c r="G197" s="95">
        <v>30</v>
      </c>
      <c r="H197" s="95">
        <v>30</v>
      </c>
      <c r="I197" s="95">
        <v>30</v>
      </c>
      <c r="J197" s="95">
        <v>30</v>
      </c>
      <c r="K197" s="95">
        <v>30</v>
      </c>
      <c r="L197" s="95">
        <v>30</v>
      </c>
      <c r="M197" s="95">
        <v>30</v>
      </c>
      <c r="N197" s="95">
        <v>30</v>
      </c>
    </row>
    <row r="198" spans="1:16" ht="14.5" customHeight="1" x14ac:dyDescent="0.2">
      <c r="C198" s="9" t="s">
        <v>188</v>
      </c>
      <c r="F198" s="85"/>
      <c r="G198" s="77">
        <f t="shared" ref="G198:L198" si="164">G195+G196-G197</f>
        <v>330</v>
      </c>
      <c r="H198" s="77">
        <f t="shared" si="164"/>
        <v>330</v>
      </c>
      <c r="I198" s="77">
        <f t="shared" si="164"/>
        <v>330</v>
      </c>
      <c r="J198" s="77">
        <f t="shared" si="164"/>
        <v>330</v>
      </c>
      <c r="K198" s="77">
        <f t="shared" si="164"/>
        <v>330</v>
      </c>
      <c r="L198" s="77">
        <f t="shared" si="164"/>
        <v>330</v>
      </c>
      <c r="M198" s="77">
        <f t="shared" ref="M198:N198" si="165">M195+M196-M197</f>
        <v>330</v>
      </c>
      <c r="N198" s="77">
        <f t="shared" si="165"/>
        <v>330</v>
      </c>
    </row>
    <row r="199" spans="1:16" ht="5" customHeight="1" x14ac:dyDescent="0.2"/>
    <row r="200" spans="1:16" ht="14.5" customHeight="1" x14ac:dyDescent="0.2">
      <c r="A200" s="186"/>
      <c r="C200" s="220" t="s">
        <v>189</v>
      </c>
      <c r="F200" s="29"/>
      <c r="G200" s="125">
        <v>2.5000000000000001E-2</v>
      </c>
      <c r="H200" s="125">
        <v>2.5000000000000001E-2</v>
      </c>
      <c r="I200" s="125">
        <v>2.5000000000000001E-2</v>
      </c>
      <c r="J200" s="125">
        <v>2.5000000000000001E-2</v>
      </c>
      <c r="K200" s="125">
        <v>2.5000000000000001E-2</v>
      </c>
      <c r="L200" s="125">
        <v>2.5000000000000001E-2</v>
      </c>
      <c r="M200" s="125">
        <v>2.5000000000000001E-2</v>
      </c>
      <c r="N200" s="125">
        <v>2.5000000000000001E-2</v>
      </c>
    </row>
    <row r="201" spans="1:16" ht="14.5" customHeight="1" x14ac:dyDescent="0.2">
      <c r="A201" s="186"/>
      <c r="C201" s="220" t="s">
        <v>190</v>
      </c>
      <c r="F201" s="29"/>
      <c r="G201" s="125">
        <v>0.01</v>
      </c>
      <c r="H201" s="125">
        <v>0.01</v>
      </c>
      <c r="I201" s="125">
        <v>0.01</v>
      </c>
      <c r="J201" s="125">
        <v>0.01</v>
      </c>
      <c r="K201" s="125">
        <v>0.01</v>
      </c>
      <c r="L201" s="125">
        <v>0.01</v>
      </c>
      <c r="M201" s="125">
        <v>0.01</v>
      </c>
      <c r="N201" s="125">
        <v>0.01</v>
      </c>
    </row>
    <row r="202" spans="1:16" ht="14.5" customHeight="1" x14ac:dyDescent="0.2">
      <c r="A202" s="186"/>
      <c r="C202" s="220" t="s">
        <v>191</v>
      </c>
      <c r="F202" s="29"/>
      <c r="G202" s="125">
        <v>0.05</v>
      </c>
      <c r="H202" s="125">
        <v>0.05</v>
      </c>
      <c r="I202" s="125">
        <v>0.05</v>
      </c>
      <c r="J202" s="125">
        <v>0.05</v>
      </c>
      <c r="K202" s="125">
        <v>0.05</v>
      </c>
      <c r="L202" s="125">
        <v>0.05</v>
      </c>
      <c r="M202" s="125">
        <v>0.05</v>
      </c>
      <c r="N202" s="125">
        <v>0.05</v>
      </c>
    </row>
    <row r="203" spans="1:16" ht="10.25" customHeight="1" x14ac:dyDescent="0.2"/>
    <row r="204" spans="1:16" ht="18" x14ac:dyDescent="0.35">
      <c r="A204" t="s">
        <v>15</v>
      </c>
      <c r="C204" s="108" t="s">
        <v>192</v>
      </c>
      <c r="D204" s="109"/>
      <c r="E204" s="109"/>
      <c r="F204" s="109"/>
      <c r="G204" s="109" t="s">
        <v>77</v>
      </c>
      <c r="H204" s="109" t="s">
        <v>78</v>
      </c>
      <c r="I204" s="109"/>
      <c r="J204" s="109"/>
      <c r="K204" s="109"/>
      <c r="L204" s="109"/>
      <c r="M204" s="109"/>
      <c r="N204" s="109"/>
      <c r="P204" s="109"/>
    </row>
    <row r="205" spans="1:16" ht="18" x14ac:dyDescent="0.35">
      <c r="C205" s="110" t="s">
        <v>79</v>
      </c>
      <c r="D205" s="111"/>
      <c r="E205" s="111"/>
      <c r="F205" s="111"/>
      <c r="G205" s="111" t="s">
        <v>80</v>
      </c>
      <c r="H205" s="111" t="s">
        <v>81</v>
      </c>
      <c r="I205" s="111" t="s">
        <v>82</v>
      </c>
      <c r="J205" s="111" t="s">
        <v>83</v>
      </c>
      <c r="K205" s="111" t="s">
        <v>84</v>
      </c>
      <c r="L205" s="111" t="s">
        <v>85</v>
      </c>
      <c r="M205" s="111" t="s">
        <v>86</v>
      </c>
      <c r="N205" s="111" t="s">
        <v>87</v>
      </c>
      <c r="P205" s="114" t="s">
        <v>17</v>
      </c>
    </row>
    <row r="206" spans="1:16" ht="18" x14ac:dyDescent="0.35">
      <c r="C206" s="110" t="s">
        <v>193</v>
      </c>
      <c r="D206" s="111"/>
      <c r="E206" s="111"/>
      <c r="F206" s="111"/>
      <c r="G206" s="112">
        <v>0</v>
      </c>
      <c r="H206" s="113">
        <f>G206+1</f>
        <v>1</v>
      </c>
      <c r="I206" s="113">
        <f t="shared" ref="I206:L206" si="166">H206+1</f>
        <v>2</v>
      </c>
      <c r="J206" s="113">
        <f t="shared" si="166"/>
        <v>3</v>
      </c>
      <c r="K206" s="113">
        <f t="shared" si="166"/>
        <v>4</v>
      </c>
      <c r="L206" s="113">
        <f t="shared" si="166"/>
        <v>5</v>
      </c>
      <c r="M206" s="113">
        <f t="shared" ref="M206:N206" si="167">L206+1</f>
        <v>6</v>
      </c>
      <c r="N206" s="113">
        <f t="shared" si="167"/>
        <v>7</v>
      </c>
      <c r="P206" s="114"/>
    </row>
    <row r="207" spans="1:16" ht="5" customHeight="1" x14ac:dyDescent="0.2"/>
    <row r="208" spans="1:16" ht="14.75" customHeight="1" x14ac:dyDescent="0.2">
      <c r="A208" s="189"/>
      <c r="C208" s="104" t="s">
        <v>194</v>
      </c>
      <c r="D208" s="190" t="s">
        <v>195</v>
      </c>
      <c r="E208" s="191">
        <v>1</v>
      </c>
      <c r="F208" s="105"/>
      <c r="G208" s="106">
        <f>H41</f>
        <v>2.76E-2</v>
      </c>
      <c r="H208" s="107">
        <f>G208+$I$41</f>
        <v>3.0099999999999998E-2</v>
      </c>
      <c r="I208" s="107">
        <f t="shared" ref="I208:L208" si="168">H208+$I$41</f>
        <v>3.2599999999999997E-2</v>
      </c>
      <c r="J208" s="107">
        <f t="shared" si="168"/>
        <v>3.5099999999999999E-2</v>
      </c>
      <c r="K208" s="107">
        <f t="shared" si="168"/>
        <v>3.7600000000000001E-2</v>
      </c>
      <c r="L208" s="107">
        <f t="shared" si="168"/>
        <v>4.0100000000000004E-2</v>
      </c>
      <c r="M208" s="107">
        <f t="shared" ref="M208:N208" si="169">L208+$I$41</f>
        <v>4.2600000000000006E-2</v>
      </c>
      <c r="N208" s="107">
        <f t="shared" si="169"/>
        <v>4.5100000000000008E-2</v>
      </c>
    </row>
    <row r="209" spans="3:16" ht="5" customHeight="1" x14ac:dyDescent="0.2"/>
    <row r="210" spans="3:16" ht="14.5" customHeight="1" x14ac:dyDescent="0.2">
      <c r="C210" s="9" t="s">
        <v>48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3:16" ht="14.75" customHeight="1" x14ac:dyDescent="0.2">
      <c r="C211" s="57" t="s">
        <v>196</v>
      </c>
      <c r="F211" s="6"/>
      <c r="G211" s="6"/>
      <c r="H211" s="6">
        <f>G213</f>
        <v>0</v>
      </c>
      <c r="I211" s="6">
        <f ca="1">H213</f>
        <v>1755.2878784734282</v>
      </c>
      <c r="J211" s="6">
        <f t="shared" ref="J211:L211" ca="1" si="170">I213</f>
        <v>5133.9588344280592</v>
      </c>
      <c r="K211" s="6">
        <f t="shared" ca="1" si="170"/>
        <v>7299.0175476453151</v>
      </c>
      <c r="L211" s="6">
        <f t="shared" ca="1" si="170"/>
        <v>8398.4095147814423</v>
      </c>
      <c r="M211" s="6">
        <f t="shared" ref="M211" ca="1" si="171">L213</f>
        <v>13936.7223059279</v>
      </c>
      <c r="N211" s="6">
        <f t="shared" ref="N211" ca="1" si="172">M213</f>
        <v>34617.052851519904</v>
      </c>
      <c r="O211" s="6"/>
      <c r="P211" s="6"/>
    </row>
    <row r="212" spans="3:16" ht="14.5" customHeight="1" x14ac:dyDescent="0.2">
      <c r="C212" s="57" t="s">
        <v>197</v>
      </c>
      <c r="D212" s="133" t="s">
        <v>45</v>
      </c>
      <c r="E212" s="133" t="s">
        <v>198</v>
      </c>
      <c r="F212" s="6"/>
      <c r="G212" s="6"/>
      <c r="H212" s="6">
        <f t="shared" ref="H212:N212" ca="1" si="173">IF($E$208=1,-MIN(SUM(H134:H135),H211),0)</f>
        <v>1755.2878784734282</v>
      </c>
      <c r="I212" s="6">
        <f t="shared" ca="1" si="173"/>
        <v>3378.6709559546312</v>
      </c>
      <c r="J212" s="6">
        <f t="shared" ca="1" si="173"/>
        <v>2165.0587132172559</v>
      </c>
      <c r="K212" s="6">
        <f t="shared" ca="1" si="173"/>
        <v>1099.3919671361273</v>
      </c>
      <c r="L212" s="6">
        <f t="shared" ca="1" si="173"/>
        <v>5538.312791146458</v>
      </c>
      <c r="M212" s="6">
        <f t="shared" ca="1" si="173"/>
        <v>20680.330545592002</v>
      </c>
      <c r="N212" s="6">
        <f t="shared" ca="1" si="173"/>
        <v>-4914.8276508456429</v>
      </c>
      <c r="O212" s="6"/>
      <c r="P212" s="6"/>
    </row>
    <row r="213" spans="3:16" ht="14.5" customHeight="1" x14ac:dyDescent="0.2">
      <c r="C213" s="57" t="s">
        <v>199</v>
      </c>
      <c r="D213" s="144">
        <f>J35</f>
        <v>6</v>
      </c>
      <c r="E213" s="145" t="str">
        <f>K35</f>
        <v xml:space="preserve">NA </v>
      </c>
      <c r="F213" s="6"/>
      <c r="G213" s="8">
        <f>E35</f>
        <v>0</v>
      </c>
      <c r="H213" s="8">
        <f t="shared" ref="H213:L213" ca="1" si="174">SUM(H211:H212)</f>
        <v>1755.2878784734282</v>
      </c>
      <c r="I213" s="8">
        <f t="shared" ca="1" si="174"/>
        <v>5133.9588344280592</v>
      </c>
      <c r="J213" s="8">
        <f t="shared" ca="1" si="174"/>
        <v>7299.0175476453151</v>
      </c>
      <c r="K213" s="8">
        <f t="shared" ca="1" si="174"/>
        <v>8398.4095147814423</v>
      </c>
      <c r="L213" s="8">
        <f t="shared" ca="1" si="174"/>
        <v>13936.7223059279</v>
      </c>
      <c r="M213" s="8">
        <f t="shared" ref="M213:N213" ca="1" si="175">SUM(M211:M212)</f>
        <v>34617.052851519904</v>
      </c>
      <c r="N213" s="8">
        <f t="shared" ca="1" si="175"/>
        <v>29702.22520067426</v>
      </c>
      <c r="O213" s="6"/>
      <c r="P213" s="6"/>
    </row>
    <row r="214" spans="3:16" ht="14.5" customHeight="1" x14ac:dyDescent="0.2">
      <c r="C214" s="213" t="s">
        <v>200</v>
      </c>
      <c r="G214" s="6">
        <f>$E$44-G213</f>
        <v>11412</v>
      </c>
      <c r="H214" s="6">
        <f t="shared" ref="H214:L214" ca="1" si="176">$E$44-H213</f>
        <v>9656.7121215265724</v>
      </c>
      <c r="I214" s="6">
        <f t="shared" ca="1" si="176"/>
        <v>6278.0411655719408</v>
      </c>
      <c r="J214" s="6">
        <f t="shared" ca="1" si="176"/>
        <v>4112.9824523546849</v>
      </c>
      <c r="K214" s="6">
        <f t="shared" ca="1" si="176"/>
        <v>3013.5904852185577</v>
      </c>
      <c r="L214" s="6">
        <f t="shared" ca="1" si="176"/>
        <v>-2524.7223059279004</v>
      </c>
      <c r="M214" s="6">
        <f t="shared" ref="M214" ca="1" si="177">$E$44-M213</f>
        <v>-23205.052851519904</v>
      </c>
      <c r="N214" s="6">
        <f t="shared" ref="N214" ca="1" si="178">$E$44-N213</f>
        <v>-18290.22520067426</v>
      </c>
      <c r="O214" s="6"/>
      <c r="P214" s="178" t="s">
        <v>201</v>
      </c>
    </row>
    <row r="215" spans="3:16" ht="14.5" customHeight="1" x14ac:dyDescent="0.2">
      <c r="C215" s="69" t="s">
        <v>202</v>
      </c>
      <c r="D215" s="99"/>
      <c r="E215" s="99"/>
      <c r="F215" s="133" t="s">
        <v>203</v>
      </c>
      <c r="G215" s="66"/>
      <c r="H215" s="66">
        <f ca="1">AVERAGE(H211,H213)*(H$208+$F216)</f>
        <v>61.522840140493656</v>
      </c>
      <c r="I215" s="66">
        <f ca="1">AVERAGE(I211,I213)*(I$208+$F216)</f>
        <v>250.079655678324</v>
      </c>
      <c r="J215" s="66">
        <f ca="1">AVERAGE(J211,J213)*(J$208+$F216)</f>
        <v>466.85826314685522</v>
      </c>
      <c r="K215" s="66">
        <f ca="1">AVERAGE(K211,K213)*(K$208+$F216)</f>
        <v>609.06017002215822</v>
      </c>
      <c r="L215" s="66">
        <f ca="1">AVERAGE(L211,L213)*(L$208+$F216)</f>
        <v>894.52202941940925</v>
      </c>
      <c r="M215" s="66">
        <f t="shared" ref="M215:N215" ca="1" si="179">AVERAGE(M211,M213)*(M$208+$F216)</f>
        <v>2005.2709140025945</v>
      </c>
      <c r="N215" s="66">
        <f t="shared" ca="1" si="179"/>
        <v>2736.7852811208618</v>
      </c>
      <c r="O215" s="6"/>
      <c r="P215" s="6"/>
    </row>
    <row r="216" spans="3:16" ht="14.5" customHeight="1" x14ac:dyDescent="0.2">
      <c r="C216" s="69" t="s">
        <v>204</v>
      </c>
      <c r="D216" s="103"/>
      <c r="E216" s="103"/>
      <c r="F216" s="134">
        <f>I35</f>
        <v>0.04</v>
      </c>
      <c r="G216" s="66"/>
      <c r="H216" s="66">
        <f t="shared" ref="H216:N216" ca="1" si="180">($E$44-AVERAGE(H211,H213))*(H$208+$F217)</f>
        <v>738.45835985950634</v>
      </c>
      <c r="I216" s="66">
        <f t="shared" ca="1" si="180"/>
        <v>578.43154432167603</v>
      </c>
      <c r="J216" s="66">
        <f t="shared" ca="1" si="180"/>
        <v>390.18293685314478</v>
      </c>
      <c r="K216" s="66">
        <f t="shared" ca="1" si="180"/>
        <v>276.51102997784182</v>
      </c>
      <c r="L216" s="66">
        <f t="shared" ca="1" si="180"/>
        <v>19.579170580590826</v>
      </c>
      <c r="M216" s="66">
        <f t="shared" ca="1" si="180"/>
        <v>-1062.6397140025942</v>
      </c>
      <c r="N216" s="66">
        <f t="shared" ca="1" si="180"/>
        <v>-1765.6240811208618</v>
      </c>
      <c r="O216" s="6"/>
      <c r="P216" s="6"/>
    </row>
    <row r="217" spans="3:16" ht="14.5" customHeight="1" x14ac:dyDescent="0.2">
      <c r="C217" s="78" t="s">
        <v>205</v>
      </c>
      <c r="D217" s="66"/>
      <c r="F217" s="135">
        <f>I44</f>
        <v>0.04</v>
      </c>
      <c r="G217" s="66"/>
      <c r="H217" s="81">
        <f ca="1">SUM(H215:H216)</f>
        <v>799.98119999999994</v>
      </c>
      <c r="I217" s="81">
        <f t="shared" ref="I217:L217" ca="1" si="181">SUM(I215:I216)</f>
        <v>828.51120000000003</v>
      </c>
      <c r="J217" s="81">
        <f t="shared" ca="1" si="181"/>
        <v>857.0412</v>
      </c>
      <c r="K217" s="81">
        <f t="shared" ca="1" si="181"/>
        <v>885.57120000000009</v>
      </c>
      <c r="L217" s="81">
        <f t="shared" ca="1" si="181"/>
        <v>914.10120000000006</v>
      </c>
      <c r="M217" s="81">
        <f t="shared" ref="M217:N217" ca="1" si="182">SUM(M215:M216)</f>
        <v>942.63120000000026</v>
      </c>
      <c r="N217" s="81">
        <f t="shared" ca="1" si="182"/>
        <v>971.16120000000001</v>
      </c>
      <c r="O217" s="6"/>
      <c r="P217" s="6"/>
    </row>
    <row r="218" spans="3:16" ht="14.5" customHeight="1" x14ac:dyDescent="0.2">
      <c r="C218" s="69" t="s">
        <v>206</v>
      </c>
      <c r="D218" s="66"/>
      <c r="F218" s="143"/>
      <c r="G218" s="66">
        <f>E44*L44</f>
        <v>114.12</v>
      </c>
      <c r="H218" s="66">
        <f>IFERROR(MAX(G218-$G218/$D$213,0),G218)</f>
        <v>95.100000000000009</v>
      </c>
      <c r="I218" s="66">
        <f t="shared" ref="I218:L218" si="183">IFERROR(MAX(H218-$G218/$D$213,0),H218)</f>
        <v>76.080000000000013</v>
      </c>
      <c r="J218" s="66">
        <f t="shared" si="183"/>
        <v>57.060000000000016</v>
      </c>
      <c r="K218" s="66">
        <f t="shared" si="183"/>
        <v>38.04000000000002</v>
      </c>
      <c r="L218" s="66">
        <f t="shared" si="183"/>
        <v>19.020000000000021</v>
      </c>
      <c r="M218" s="66">
        <f t="shared" ref="M218:N218" si="184">IFERROR(MAX(L218-$G218/$D$213,0),L218)</f>
        <v>2.1316282072803006E-14</v>
      </c>
      <c r="N218" s="66">
        <f t="shared" si="184"/>
        <v>0</v>
      </c>
      <c r="O218" s="6"/>
      <c r="P218" s="6"/>
    </row>
    <row r="219" spans="3:16" ht="5" customHeight="1" x14ac:dyDescent="0.2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3:16" ht="14.5" customHeight="1" x14ac:dyDescent="0.2">
      <c r="C220" s="9" t="s">
        <v>52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3:16" ht="14.5" customHeight="1" x14ac:dyDescent="0.2">
      <c r="C221" s="57" t="s">
        <v>196</v>
      </c>
      <c r="G221" s="6"/>
      <c r="H221" s="6">
        <f>G224</f>
        <v>31953.599999999999</v>
      </c>
      <c r="I221" s="6">
        <f t="shared" ref="I221:L221" si="185">H224</f>
        <v>30355.919999999998</v>
      </c>
      <c r="J221" s="6">
        <f t="shared" si="185"/>
        <v>28758.239999999998</v>
      </c>
      <c r="K221" s="6">
        <f t="shared" si="185"/>
        <v>27160.559999999998</v>
      </c>
      <c r="L221" s="6">
        <f t="shared" si="185"/>
        <v>25562.879999999997</v>
      </c>
      <c r="M221" s="6">
        <f t="shared" ref="M221" si="186">L224</f>
        <v>23965.199999999997</v>
      </c>
      <c r="N221" s="6">
        <f t="shared" ref="N221" si="187">M224</f>
        <v>0</v>
      </c>
      <c r="O221" s="6"/>
      <c r="P221" s="6"/>
    </row>
    <row r="222" spans="3:16" ht="14.5" customHeight="1" x14ac:dyDescent="0.2">
      <c r="C222" s="57" t="s">
        <v>207</v>
      </c>
      <c r="D222" s="133" t="s">
        <v>45</v>
      </c>
      <c r="E222" s="133" t="s">
        <v>198</v>
      </c>
      <c r="F222" s="99"/>
      <c r="G222" s="6"/>
      <c r="H222" s="124">
        <v>0</v>
      </c>
      <c r="I222" s="124">
        <v>0</v>
      </c>
      <c r="J222" s="124">
        <v>0</v>
      </c>
      <c r="K222" s="124">
        <v>0</v>
      </c>
      <c r="L222" s="124">
        <v>0</v>
      </c>
      <c r="M222" s="124">
        <v>0</v>
      </c>
      <c r="N222" s="124">
        <v>0</v>
      </c>
      <c r="O222" s="6"/>
      <c r="P222" s="6"/>
    </row>
    <row r="223" spans="3:16" ht="14.5" customHeight="1" x14ac:dyDescent="0.2">
      <c r="C223" s="57" t="s">
        <v>208</v>
      </c>
      <c r="D223" s="136">
        <f>J36</f>
        <v>6</v>
      </c>
      <c r="E223" s="137">
        <f>K36</f>
        <v>0.05</v>
      </c>
      <c r="F223" s="6"/>
      <c r="G223" s="6"/>
      <c r="H223" s="6">
        <f>IF($D223=H$206,-SUM(H221:H222),-MIN($G224*$E223,SUM(H221:H222)))</f>
        <v>-1597.68</v>
      </c>
      <c r="I223" s="6">
        <f t="shared" ref="I223:N223" si="188">IF($D223=I$206,-SUM(I221:I222),-MIN($G224*$E223,SUM(I221:I222)))</f>
        <v>-1597.68</v>
      </c>
      <c r="J223" s="6">
        <f t="shared" si="188"/>
        <v>-1597.68</v>
      </c>
      <c r="K223" s="6">
        <f t="shared" si="188"/>
        <v>-1597.68</v>
      </c>
      <c r="L223" s="6">
        <f t="shared" si="188"/>
        <v>-1597.68</v>
      </c>
      <c r="M223" s="6">
        <f t="shared" si="188"/>
        <v>-23965.199999999997</v>
      </c>
      <c r="N223" s="6">
        <f t="shared" si="188"/>
        <v>0</v>
      </c>
      <c r="O223" s="6"/>
      <c r="P223" s="6"/>
    </row>
    <row r="224" spans="3:16" ht="14.5" customHeight="1" x14ac:dyDescent="0.2">
      <c r="C224" s="57" t="s">
        <v>199</v>
      </c>
      <c r="D224" s="99"/>
      <c r="E224" s="99"/>
      <c r="F224" s="133" t="s">
        <v>203</v>
      </c>
      <c r="G224" s="8">
        <f>E36</f>
        <v>31953.599999999999</v>
      </c>
      <c r="H224" s="8">
        <f t="shared" ref="H224:L224" si="189">SUM(H221:H223)</f>
        <v>30355.919999999998</v>
      </c>
      <c r="I224" s="8">
        <f t="shared" si="189"/>
        <v>28758.239999999998</v>
      </c>
      <c r="J224" s="8">
        <f t="shared" si="189"/>
        <v>27160.559999999998</v>
      </c>
      <c r="K224" s="8">
        <f t="shared" si="189"/>
        <v>25562.879999999997</v>
      </c>
      <c r="L224" s="8">
        <f t="shared" si="189"/>
        <v>23965.199999999997</v>
      </c>
      <c r="M224" s="8">
        <f t="shared" ref="M224:N224" si="190">SUM(M221:M223)</f>
        <v>0</v>
      </c>
      <c r="N224" s="8">
        <f t="shared" si="190"/>
        <v>0</v>
      </c>
      <c r="O224" s="6"/>
      <c r="P224" s="6"/>
    </row>
    <row r="225" spans="3:16" ht="14.5" customHeight="1" x14ac:dyDescent="0.2">
      <c r="C225" s="69" t="s">
        <v>132</v>
      </c>
      <c r="D225" s="103"/>
      <c r="E225" s="103"/>
      <c r="F225" s="135">
        <f>I36</f>
        <v>0.04</v>
      </c>
      <c r="G225" s="6"/>
      <c r="H225" s="66">
        <f>AVERAGE(H221,H224)*(H$208+$F225)</f>
        <v>2183.948676</v>
      </c>
      <c r="I225" s="66">
        <f t="shared" ref="I225:L225" si="191">AVERAGE(I221,I224)*(I$208+$F225)</f>
        <v>2145.8440079999996</v>
      </c>
      <c r="J225" s="66">
        <f t="shared" si="191"/>
        <v>2099.7509399999999</v>
      </c>
      <c r="K225" s="66">
        <f t="shared" si="191"/>
        <v>2045.6694719999998</v>
      </c>
      <c r="L225" s="66">
        <f t="shared" si="191"/>
        <v>1983.599604</v>
      </c>
      <c r="M225" s="66">
        <f t="shared" ref="M225" si="192">AVERAGE(M221,M224)*(M$208+$F225)</f>
        <v>989.76275999999996</v>
      </c>
      <c r="N225" s="66">
        <f t="shared" ref="N225" si="193">AVERAGE(N221,N224)*(N$208+$F225)</f>
        <v>0</v>
      </c>
      <c r="O225" s="6"/>
      <c r="P225" s="6"/>
    </row>
    <row r="226" spans="3:16" ht="14.5" customHeight="1" x14ac:dyDescent="0.2">
      <c r="C226" s="69" t="s">
        <v>206</v>
      </c>
      <c r="D226" s="103"/>
      <c r="E226" s="103"/>
      <c r="F226" s="143"/>
      <c r="G226" s="66">
        <f>E36*L36</f>
        <v>319.536</v>
      </c>
      <c r="H226" s="66">
        <f>IFERROR(MAX(G226-$G226/$D$223,0),G226)</f>
        <v>266.27999999999997</v>
      </c>
      <c r="I226" s="66">
        <f t="shared" ref="I226:L226" si="194">IFERROR(MAX(H226-$G226/$D$223,0),H226)</f>
        <v>213.02399999999997</v>
      </c>
      <c r="J226" s="66">
        <f t="shared" si="194"/>
        <v>159.76799999999997</v>
      </c>
      <c r="K226" s="66">
        <f t="shared" si="194"/>
        <v>106.51199999999997</v>
      </c>
      <c r="L226" s="66">
        <f t="shared" si="194"/>
        <v>53.255999999999972</v>
      </c>
      <c r="M226" s="66">
        <f t="shared" ref="M226:N226" si="195">IFERROR(MAX(L226-$G226/$D$223,0),L226)</f>
        <v>0</v>
      </c>
      <c r="N226" s="66">
        <f t="shared" si="195"/>
        <v>0</v>
      </c>
      <c r="O226" s="6"/>
      <c r="P226" s="6"/>
    </row>
    <row r="227" spans="3:16" ht="5" customHeight="1" x14ac:dyDescent="0.2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3:16" ht="14.5" customHeight="1" x14ac:dyDescent="0.2">
      <c r="C228" s="9" t="s">
        <v>173</v>
      </c>
      <c r="D228" s="6"/>
      <c r="E228" s="6"/>
      <c r="F228" s="6"/>
      <c r="G228" s="6"/>
      <c r="O228" s="6"/>
      <c r="P228" s="6"/>
    </row>
    <row r="229" spans="3:16" ht="14.5" customHeight="1" x14ac:dyDescent="0.2">
      <c r="C229" s="57" t="s">
        <v>196</v>
      </c>
      <c r="D229" s="6"/>
      <c r="E229" s="6"/>
      <c r="F229" s="6"/>
      <c r="G229" s="6"/>
      <c r="H229" s="6">
        <f>G232</f>
        <v>19971</v>
      </c>
      <c r="I229" s="6">
        <f>H232</f>
        <v>19971</v>
      </c>
      <c r="J229" s="6">
        <f>I232</f>
        <v>19971</v>
      </c>
      <c r="K229" s="6">
        <f>J232</f>
        <v>19971</v>
      </c>
      <c r="L229" s="6">
        <f>K232</f>
        <v>19971</v>
      </c>
      <c r="M229" s="6">
        <f t="shared" ref="M229:N229" si="196">L232</f>
        <v>19971</v>
      </c>
      <c r="N229" s="6">
        <f t="shared" si="196"/>
        <v>19971</v>
      </c>
      <c r="O229" s="6"/>
      <c r="P229" s="6"/>
    </row>
    <row r="230" spans="3:16" ht="14.5" customHeight="1" x14ac:dyDescent="0.2">
      <c r="C230" s="57" t="s">
        <v>207</v>
      </c>
      <c r="D230" s="133" t="s">
        <v>45</v>
      </c>
      <c r="E230" s="133" t="s">
        <v>198</v>
      </c>
      <c r="F230" s="99"/>
      <c r="G230" s="6"/>
      <c r="H230" s="124">
        <v>0</v>
      </c>
      <c r="I230" s="124">
        <v>0</v>
      </c>
      <c r="J230" s="124">
        <v>0</v>
      </c>
      <c r="K230" s="124">
        <v>0</v>
      </c>
      <c r="L230" s="124">
        <v>0</v>
      </c>
      <c r="M230" s="124">
        <v>0</v>
      </c>
      <c r="N230" s="124">
        <v>0</v>
      </c>
      <c r="O230" s="6"/>
      <c r="P230" s="6"/>
    </row>
    <row r="231" spans="3:16" ht="14.5" customHeight="1" x14ac:dyDescent="0.2">
      <c r="C231" s="57" t="s">
        <v>208</v>
      </c>
      <c r="D231" s="136">
        <f>J37</f>
        <v>8</v>
      </c>
      <c r="E231" s="137">
        <f>K37</f>
        <v>0</v>
      </c>
      <c r="F231" s="6"/>
      <c r="G231" s="6"/>
      <c r="H231" s="6">
        <f>IF($D231=H$206,-SUM(H229:H230),-MIN($G232*$E231,SUM(H229:H230)))</f>
        <v>0</v>
      </c>
      <c r="I231" s="6">
        <f t="shared" ref="I231:N231" si="197">IF($D231=I$206,-SUM(I229:I230),-MIN($G232*$E231,SUM(I229:I230)))</f>
        <v>0</v>
      </c>
      <c r="J231" s="6">
        <f t="shared" si="197"/>
        <v>0</v>
      </c>
      <c r="K231" s="6">
        <f t="shared" si="197"/>
        <v>0</v>
      </c>
      <c r="L231" s="6">
        <f t="shared" si="197"/>
        <v>0</v>
      </c>
      <c r="M231" s="6">
        <f t="shared" si="197"/>
        <v>0</v>
      </c>
      <c r="N231" s="6">
        <f t="shared" si="197"/>
        <v>0</v>
      </c>
      <c r="O231" s="6"/>
      <c r="P231" s="6"/>
    </row>
    <row r="232" spans="3:16" ht="14.5" customHeight="1" x14ac:dyDescent="0.2">
      <c r="C232" s="57" t="s">
        <v>199</v>
      </c>
      <c r="D232" s="99"/>
      <c r="E232" s="99"/>
      <c r="F232" s="133" t="s">
        <v>203</v>
      </c>
      <c r="G232" s="8">
        <f>E37</f>
        <v>19971</v>
      </c>
      <c r="H232" s="8">
        <f>SUM(H229:H231)</f>
        <v>19971</v>
      </c>
      <c r="I232" s="8">
        <f>SUM(I229:I231)</f>
        <v>19971</v>
      </c>
      <c r="J232" s="8">
        <f>SUM(J229:J231)</f>
        <v>19971</v>
      </c>
      <c r="K232" s="8">
        <f>SUM(K229:K231)</f>
        <v>19971</v>
      </c>
      <c r="L232" s="8">
        <f>SUM(L229:L231)</f>
        <v>19971</v>
      </c>
      <c r="M232" s="8">
        <f t="shared" ref="M232:N232" si="198">SUM(M229:M231)</f>
        <v>19971</v>
      </c>
      <c r="N232" s="8">
        <f t="shared" si="198"/>
        <v>19971</v>
      </c>
      <c r="O232" s="6"/>
      <c r="P232" s="6"/>
    </row>
    <row r="233" spans="3:16" ht="14.5" customHeight="1" x14ac:dyDescent="0.2">
      <c r="C233" s="69" t="s">
        <v>132</v>
      </c>
      <c r="D233" s="103"/>
      <c r="E233" s="103"/>
      <c r="F233" s="135">
        <f>I37</f>
        <v>0.12</v>
      </c>
      <c r="G233" s="6"/>
      <c r="H233" s="66">
        <f>AVERAGE(H229,H232)*(H$208+$F233)</f>
        <v>2997.6470999999997</v>
      </c>
      <c r="I233" s="66">
        <f t="shared" ref="I233:L233" si="199">AVERAGE(I229,I232)*(I$208+$F233)</f>
        <v>3047.5745999999999</v>
      </c>
      <c r="J233" s="66">
        <f t="shared" si="199"/>
        <v>3097.5020999999997</v>
      </c>
      <c r="K233" s="66">
        <f t="shared" si="199"/>
        <v>3147.4295999999999</v>
      </c>
      <c r="L233" s="66">
        <f t="shared" si="199"/>
        <v>3197.3570999999997</v>
      </c>
      <c r="M233" s="66">
        <f t="shared" ref="M233" si="200">AVERAGE(M229,M232)*(M$208+$F233)</f>
        <v>3247.2846</v>
      </c>
      <c r="N233" s="66">
        <f t="shared" ref="N233" si="201">AVERAGE(N229,N232)*(N$208+$F233)</f>
        <v>3297.2120999999997</v>
      </c>
      <c r="O233" s="6"/>
      <c r="P233" s="6"/>
    </row>
    <row r="234" spans="3:16" ht="14.5" customHeight="1" x14ac:dyDescent="0.2">
      <c r="C234" s="69" t="s">
        <v>206</v>
      </c>
      <c r="D234" s="103"/>
      <c r="E234" s="103"/>
      <c r="F234" s="143"/>
      <c r="G234" s="66">
        <f>E37*L37</f>
        <v>199.71</v>
      </c>
      <c r="H234" s="66">
        <f>IFERROR(MAX(G234-$G234/$D$231,0),G234)</f>
        <v>174.74625</v>
      </c>
      <c r="I234" s="66">
        <f t="shared" ref="I234:L234" si="202">IFERROR(MAX(H234-$G234/$D$231,0),H234)</f>
        <v>149.7825</v>
      </c>
      <c r="J234" s="66">
        <f t="shared" si="202"/>
        <v>124.81874999999999</v>
      </c>
      <c r="K234" s="66">
        <f t="shared" si="202"/>
        <v>99.85499999999999</v>
      </c>
      <c r="L234" s="66">
        <f t="shared" si="202"/>
        <v>74.891249999999985</v>
      </c>
      <c r="M234" s="66">
        <f t="shared" ref="M234:N234" si="203">IFERROR(MAX(L234-$G234/$D$231,0),L234)</f>
        <v>49.927499999999981</v>
      </c>
      <c r="N234" s="66">
        <f t="shared" si="203"/>
        <v>24.96374999999998</v>
      </c>
      <c r="O234" s="6"/>
      <c r="P234" s="6"/>
    </row>
    <row r="235" spans="3:16" ht="5" customHeight="1" x14ac:dyDescent="0.2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3:16" ht="14.5" customHeight="1" x14ac:dyDescent="0.2">
      <c r="C236" s="9" t="s">
        <v>174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3:16" ht="14.5" customHeight="1" x14ac:dyDescent="0.2">
      <c r="C237" s="57" t="s">
        <v>196</v>
      </c>
      <c r="D237" s="6"/>
      <c r="E237" s="6"/>
      <c r="F237" s="6"/>
      <c r="G237" s="6"/>
      <c r="H237" s="6">
        <f>G241</f>
        <v>5706</v>
      </c>
      <c r="I237" s="6">
        <f t="shared" ref="I237:L237" si="204">H241</f>
        <v>5706</v>
      </c>
      <c r="J237" s="6">
        <f t="shared" si="204"/>
        <v>5706</v>
      </c>
      <c r="K237" s="6">
        <f t="shared" si="204"/>
        <v>5706</v>
      </c>
      <c r="L237" s="6">
        <f t="shared" si="204"/>
        <v>5706</v>
      </c>
      <c r="M237" s="6">
        <f t="shared" ref="M237" si="205">L241</f>
        <v>0</v>
      </c>
      <c r="N237" s="6">
        <f t="shared" ref="N237" si="206">M241</f>
        <v>0</v>
      </c>
      <c r="O237" s="6"/>
      <c r="P237" s="6"/>
    </row>
    <row r="238" spans="3:16" ht="14.5" customHeight="1" x14ac:dyDescent="0.2">
      <c r="C238" s="57" t="s">
        <v>207</v>
      </c>
      <c r="D238" s="133" t="s">
        <v>45</v>
      </c>
      <c r="E238" s="133" t="s">
        <v>198</v>
      </c>
      <c r="F238" s="99"/>
      <c r="G238" s="6"/>
      <c r="H238" s="124">
        <v>0</v>
      </c>
      <c r="I238" s="124">
        <v>0</v>
      </c>
      <c r="J238" s="124">
        <v>0</v>
      </c>
      <c r="K238" s="124">
        <v>0</v>
      </c>
      <c r="L238" s="124">
        <v>0</v>
      </c>
      <c r="M238" s="124">
        <v>0</v>
      </c>
      <c r="N238" s="124">
        <v>0</v>
      </c>
      <c r="O238" s="6"/>
      <c r="P238" s="6"/>
    </row>
    <row r="239" spans="3:16" ht="14.5" customHeight="1" x14ac:dyDescent="0.2">
      <c r="C239" s="57" t="s">
        <v>208</v>
      </c>
      <c r="D239" s="136">
        <f>J38</f>
        <v>5</v>
      </c>
      <c r="E239" s="137">
        <f>K38</f>
        <v>0</v>
      </c>
      <c r="F239" s="6"/>
      <c r="G239" s="6"/>
      <c r="H239" s="6">
        <f>IF($D239=H$206,-SUM(H237:H238,H240),-MIN($G241*$E239,SUM(H237:H238,H240)))</f>
        <v>0</v>
      </c>
      <c r="I239" s="6">
        <f t="shared" ref="I239:L239" si="207">IF($D239=I$206,-SUM(I237:I238,I240),-MIN($G241*$E239,SUM(I237:I238,I240)))</f>
        <v>0</v>
      </c>
      <c r="J239" s="6">
        <f t="shared" si="207"/>
        <v>0</v>
      </c>
      <c r="K239" s="6">
        <f t="shared" si="207"/>
        <v>0</v>
      </c>
      <c r="L239" s="6">
        <f t="shared" si="207"/>
        <v>-5706</v>
      </c>
      <c r="M239" s="6">
        <f t="shared" ref="M239" si="208">IF($D239=M$206,-SUM(M237:M238,M240),-MIN($G241*$E239,SUM(M237:M238,M240)))</f>
        <v>0</v>
      </c>
      <c r="N239" s="6">
        <f t="shared" ref="N239" si="209">IF($D239=N$206,-SUM(N237:N238,N240),-MIN($G241*$E239,SUM(N237:N238,N240)))</f>
        <v>0</v>
      </c>
      <c r="O239" s="6"/>
      <c r="P239" s="6"/>
    </row>
    <row r="240" spans="3:16" ht="14.5" customHeight="1" x14ac:dyDescent="0.2">
      <c r="C240" s="57" t="s">
        <v>209</v>
      </c>
      <c r="D240" s="6"/>
      <c r="E240" s="6"/>
      <c r="F240" s="6"/>
      <c r="G240" s="6"/>
      <c r="H240" s="6">
        <f>H243</f>
        <v>0</v>
      </c>
      <c r="I240" s="6">
        <f>I243</f>
        <v>0</v>
      </c>
      <c r="J240" s="6">
        <f t="shared" ref="J240:L240" si="210">J243</f>
        <v>0</v>
      </c>
      <c r="K240" s="6">
        <f t="shared" si="210"/>
        <v>0</v>
      </c>
      <c r="L240" s="6">
        <f t="shared" si="210"/>
        <v>0</v>
      </c>
      <c r="M240" s="6">
        <f t="shared" ref="M240:N240" si="211">M243</f>
        <v>0</v>
      </c>
      <c r="N240" s="6">
        <f t="shared" si="211"/>
        <v>0</v>
      </c>
      <c r="O240" s="6"/>
      <c r="P240" s="6"/>
    </row>
    <row r="241" spans="3:16" ht="14.5" customHeight="1" x14ac:dyDescent="0.2">
      <c r="C241" s="57" t="s">
        <v>199</v>
      </c>
      <c r="D241" s="6"/>
      <c r="E241" s="6"/>
      <c r="F241" s="133" t="s">
        <v>203</v>
      </c>
      <c r="G241" s="8">
        <f>E38</f>
        <v>5706</v>
      </c>
      <c r="H241" s="8">
        <f>SUM(H237:H240)</f>
        <v>5706</v>
      </c>
      <c r="I241" s="8">
        <f>SUM(I237:I240)</f>
        <v>5706</v>
      </c>
      <c r="J241" s="8">
        <f>SUM(J237:J240)</f>
        <v>5706</v>
      </c>
      <c r="K241" s="8">
        <f>SUM(K237:K240)</f>
        <v>5706</v>
      </c>
      <c r="L241" s="8">
        <f>SUM(L237:L240)</f>
        <v>0</v>
      </c>
      <c r="M241" s="8">
        <f t="shared" ref="M241:N241" si="212">SUM(M237:M240)</f>
        <v>0</v>
      </c>
      <c r="N241" s="8">
        <f t="shared" si="212"/>
        <v>0</v>
      </c>
      <c r="O241" s="6"/>
      <c r="P241" s="6"/>
    </row>
    <row r="242" spans="3:16" ht="14.5" customHeight="1" x14ac:dyDescent="0.2">
      <c r="C242" s="69" t="s">
        <v>210</v>
      </c>
      <c r="D242" s="6"/>
      <c r="E242" s="6"/>
      <c r="F242" s="134">
        <f>I38</f>
        <v>0</v>
      </c>
      <c r="G242" s="6"/>
      <c r="H242" s="66">
        <f>IF($F242=0,0,AVERAGE(H237,SUM(H237:H239))*(H$208+$F242))</f>
        <v>0</v>
      </c>
      <c r="I242" s="66">
        <f t="shared" ref="I242:N242" si="213">IF($F242=0,0,AVERAGE(I237,SUM(I237:I239))*(I$208+$F242))</f>
        <v>0</v>
      </c>
      <c r="J242" s="66">
        <f t="shared" si="213"/>
        <v>0</v>
      </c>
      <c r="K242" s="66">
        <f t="shared" si="213"/>
        <v>0</v>
      </c>
      <c r="L242" s="66">
        <f t="shared" si="213"/>
        <v>0</v>
      </c>
      <c r="M242" s="66">
        <f t="shared" si="213"/>
        <v>0</v>
      </c>
      <c r="N242" s="66">
        <f t="shared" si="213"/>
        <v>0</v>
      </c>
      <c r="O242" s="6"/>
      <c r="P242" t="s">
        <v>211</v>
      </c>
    </row>
    <row r="243" spans="3:16" ht="14.5" customHeight="1" x14ac:dyDescent="0.2">
      <c r="C243" s="69" t="s">
        <v>212</v>
      </c>
      <c r="D243" s="6"/>
      <c r="E243" s="6"/>
      <c r="F243" s="135">
        <f>I39</f>
        <v>0</v>
      </c>
      <c r="G243" s="6"/>
      <c r="H243" s="66">
        <f>G241*$F243</f>
        <v>0</v>
      </c>
      <c r="I243" s="66">
        <f>H241*$F243</f>
        <v>0</v>
      </c>
      <c r="J243" s="66">
        <f t="shared" ref="J243:L243" si="214">I241*$F243</f>
        <v>0</v>
      </c>
      <c r="K243" s="66">
        <f t="shared" si="214"/>
        <v>0</v>
      </c>
      <c r="L243" s="66">
        <f t="shared" si="214"/>
        <v>0</v>
      </c>
      <c r="M243" s="66">
        <f t="shared" ref="M243:N243" si="215">L241*$F243</f>
        <v>0</v>
      </c>
      <c r="N243" s="66">
        <f t="shared" si="215"/>
        <v>0</v>
      </c>
      <c r="O243" s="6"/>
      <c r="P243" s="6"/>
    </row>
    <row r="244" spans="3:16" ht="14.5" customHeight="1" x14ac:dyDescent="0.2">
      <c r="C244" s="69" t="s">
        <v>206</v>
      </c>
      <c r="D244" s="6"/>
      <c r="E244" s="6"/>
      <c r="F244" s="143"/>
      <c r="G244" s="66">
        <f>E38*L38</f>
        <v>0</v>
      </c>
      <c r="H244" s="66">
        <f>IFERROR(MAX(G244-$G244/$D$239,0),G244)</f>
        <v>0</v>
      </c>
      <c r="I244" s="66">
        <f t="shared" ref="I244:L244" si="216">IFERROR(MAX(H244-$G244/$D$239,0),H244)</f>
        <v>0</v>
      </c>
      <c r="J244" s="66">
        <f t="shared" si="216"/>
        <v>0</v>
      </c>
      <c r="K244" s="66">
        <f t="shared" si="216"/>
        <v>0</v>
      </c>
      <c r="L244" s="66">
        <f t="shared" si="216"/>
        <v>0</v>
      </c>
      <c r="M244" s="66">
        <f t="shared" ref="M244:N244" si="217">IFERROR(MAX(L244-$G244/$D$239,0),L244)</f>
        <v>0</v>
      </c>
      <c r="N244" s="66">
        <f t="shared" si="217"/>
        <v>0</v>
      </c>
      <c r="O244" s="6"/>
      <c r="P244" s="6"/>
    </row>
    <row r="245" spans="3:16" ht="5" customHeight="1" x14ac:dyDescent="0.2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3:16" ht="14.5" customHeight="1" x14ac:dyDescent="0.2">
      <c r="C246" s="70" t="s">
        <v>213</v>
      </c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3:16" ht="14.5" customHeight="1" x14ac:dyDescent="0.2">
      <c r="C247" s="57" t="s">
        <v>196</v>
      </c>
      <c r="D247" s="6"/>
      <c r="E247" s="6"/>
      <c r="F247" s="6"/>
      <c r="G247" s="6"/>
      <c r="H247" s="6">
        <f>SUM(H211,H221,H229,H237)</f>
        <v>57630.6</v>
      </c>
      <c r="I247" s="6">
        <f ca="1">SUM(I211,I221,I229,I237)</f>
        <v>57788.207878473426</v>
      </c>
      <c r="J247" s="6">
        <f ca="1">SUM(J211,J221,J229,J237)</f>
        <v>59569.198834428054</v>
      </c>
      <c r="K247" s="6">
        <f ca="1">SUM(K211,K221,K229,K237)</f>
        <v>60136.577547645313</v>
      </c>
      <c r="L247" s="6">
        <f ca="1">SUM(L211,L221,L229,L237)</f>
        <v>59638.289514781442</v>
      </c>
      <c r="M247" s="6">
        <f t="shared" ref="M247:N247" ca="1" si="218">SUM(M211,M221,M229,M237)</f>
        <v>57872.922305927896</v>
      </c>
      <c r="N247" s="6">
        <f t="shared" ca="1" si="218"/>
        <v>54588.052851519904</v>
      </c>
      <c r="O247" s="6"/>
      <c r="P247" s="6"/>
    </row>
    <row r="248" spans="3:16" ht="14.5" customHeight="1" x14ac:dyDescent="0.2">
      <c r="C248" s="57" t="s">
        <v>214</v>
      </c>
      <c r="D248" s="6"/>
      <c r="E248" s="6"/>
      <c r="F248" s="6"/>
      <c r="G248" s="6"/>
      <c r="H248" s="6">
        <f t="shared" ref="H248:L248" ca="1" si="219">H249-H247</f>
        <v>157.60787847342726</v>
      </c>
      <c r="I248" s="6">
        <f t="shared" ca="1" si="219"/>
        <v>1780.9909559546286</v>
      </c>
      <c r="J248" s="6">
        <f t="shared" ca="1" si="219"/>
        <v>567.37871321725834</v>
      </c>
      <c r="K248" s="6">
        <f t="shared" ca="1" si="219"/>
        <v>-498.28803286387119</v>
      </c>
      <c r="L248" s="6">
        <f t="shared" ca="1" si="219"/>
        <v>-1765.3672088535459</v>
      </c>
      <c r="M248" s="6">
        <f t="shared" ref="M248:N248" ca="1" si="220">M249-M247</f>
        <v>-3284.8694544079917</v>
      </c>
      <c r="N248" s="6">
        <f t="shared" ca="1" si="220"/>
        <v>-4914.8276508456402</v>
      </c>
      <c r="O248" s="6"/>
      <c r="P248" s="6"/>
    </row>
    <row r="249" spans="3:16" ht="14.75" customHeight="1" x14ac:dyDescent="0.2">
      <c r="C249" s="57" t="s">
        <v>199</v>
      </c>
      <c r="D249" s="6"/>
      <c r="E249" s="6"/>
      <c r="F249" s="6"/>
      <c r="G249" s="8">
        <f>SUM(G213,G224,G232,G241)</f>
        <v>57630.6</v>
      </c>
      <c r="H249" s="8">
        <f t="shared" ref="H249:L249" ca="1" si="221">SUM(H213,H224,H232,H241)</f>
        <v>57788.207878473426</v>
      </c>
      <c r="I249" s="8">
        <f t="shared" ca="1" si="221"/>
        <v>59569.198834428054</v>
      </c>
      <c r="J249" s="8">
        <f t="shared" ca="1" si="221"/>
        <v>60136.577547645313</v>
      </c>
      <c r="K249" s="8">
        <f t="shared" ca="1" si="221"/>
        <v>59638.289514781442</v>
      </c>
      <c r="L249" s="8">
        <f t="shared" ca="1" si="221"/>
        <v>57872.922305927896</v>
      </c>
      <c r="M249" s="8">
        <f t="shared" ref="M249:N249" ca="1" si="222">SUM(M213,M224,M232,M241)</f>
        <v>54588.052851519904</v>
      </c>
      <c r="N249" s="8">
        <f t="shared" ca="1" si="222"/>
        <v>49673.225200674264</v>
      </c>
      <c r="O249" s="6"/>
      <c r="P249" s="6"/>
    </row>
    <row r="250" spans="3:16" ht="5" customHeight="1" x14ac:dyDescent="0.2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3:16" ht="14.75" customHeight="1" x14ac:dyDescent="0.2">
      <c r="C251" s="57" t="s">
        <v>215</v>
      </c>
      <c r="D251" s="6"/>
      <c r="E251" s="6"/>
      <c r="F251" s="6"/>
      <c r="G251" s="6"/>
      <c r="H251" s="6">
        <f>SUM(H223,H231,H239)</f>
        <v>-1597.68</v>
      </c>
      <c r="I251" s="6">
        <f t="shared" ref="I251:L251" si="223">SUM(I223,I231,I239)</f>
        <v>-1597.68</v>
      </c>
      <c r="J251" s="6">
        <f t="shared" si="223"/>
        <v>-1597.68</v>
      </c>
      <c r="K251" s="6">
        <f t="shared" si="223"/>
        <v>-1597.68</v>
      </c>
      <c r="L251" s="6">
        <f t="shared" si="223"/>
        <v>-7303.68</v>
      </c>
      <c r="M251" s="6">
        <f t="shared" ref="M251:N251" si="224">SUM(M223,M231,M239)</f>
        <v>-23965.199999999997</v>
      </c>
      <c r="N251" s="6">
        <f t="shared" si="224"/>
        <v>0</v>
      </c>
      <c r="O251" s="6"/>
      <c r="P251" s="6"/>
    </row>
    <row r="252" spans="3:16" ht="5" customHeight="1" x14ac:dyDescent="0.2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3:16" s="18" customFormat="1" ht="14.5" customHeight="1" x14ac:dyDescent="0.2">
      <c r="C253" s="69" t="s">
        <v>210</v>
      </c>
      <c r="D253" s="66"/>
      <c r="E253" s="66"/>
      <c r="F253" s="66"/>
      <c r="G253" s="66"/>
      <c r="H253" s="66">
        <f ca="1">SUM(H217,H225,H233,H242)</f>
        <v>5981.5769760000003</v>
      </c>
      <c r="I253" s="66">
        <f ca="1">SUM(I217,I225,I233,I242)</f>
        <v>6021.929807999999</v>
      </c>
      <c r="J253" s="66">
        <f ca="1">SUM(J217,J225,J233,J242)</f>
        <v>6054.2942399999993</v>
      </c>
      <c r="K253" s="66">
        <f ca="1">SUM(K217,K225,K233,K242)</f>
        <v>6078.6702719999994</v>
      </c>
      <c r="L253" s="66">
        <f ca="1">SUM(L217,L225,L233,L242)</f>
        <v>6095.0579039999993</v>
      </c>
      <c r="M253" s="66">
        <f t="shared" ref="M253:N253" ca="1" si="225">SUM(M217,M225,M233,M242)</f>
        <v>5179.6785600000003</v>
      </c>
      <c r="N253" s="66">
        <f t="shared" ca="1" si="225"/>
        <v>4268.3732999999993</v>
      </c>
      <c r="O253" s="66"/>
      <c r="P253" s="66"/>
    </row>
    <row r="254" spans="3:16" s="18" customFormat="1" ht="14.5" customHeight="1" x14ac:dyDescent="0.2">
      <c r="C254" s="69" t="s">
        <v>216</v>
      </c>
      <c r="D254" s="66"/>
      <c r="E254" s="66"/>
      <c r="F254" s="66"/>
      <c r="G254" s="66"/>
      <c r="H254" s="66">
        <f>H243</f>
        <v>0</v>
      </c>
      <c r="I254" s="66">
        <f>I243</f>
        <v>0</v>
      </c>
      <c r="J254" s="66">
        <f>J243</f>
        <v>0</v>
      </c>
      <c r="K254" s="66">
        <f>K243</f>
        <v>0</v>
      </c>
      <c r="L254" s="66">
        <f>L243</f>
        <v>0</v>
      </c>
      <c r="M254" s="66">
        <f t="shared" ref="M254:N254" si="226">M243</f>
        <v>0</v>
      </c>
      <c r="N254" s="66">
        <f t="shared" si="226"/>
        <v>0</v>
      </c>
      <c r="O254" s="66"/>
      <c r="P254" s="66"/>
    </row>
    <row r="255" spans="3:16" s="33" customFormat="1" ht="14.5" customHeight="1" x14ac:dyDescent="0.2">
      <c r="C255" s="79" t="s">
        <v>205</v>
      </c>
      <c r="D255" s="65"/>
      <c r="E255" s="65"/>
      <c r="F255" s="65"/>
      <c r="G255" s="65"/>
      <c r="H255" s="80">
        <f t="shared" ref="H255:L255" ca="1" si="227">SUM(H253:H254)</f>
        <v>5981.5769760000003</v>
      </c>
      <c r="I255" s="80">
        <f t="shared" ca="1" si="227"/>
        <v>6021.929807999999</v>
      </c>
      <c r="J255" s="80">
        <f t="shared" ca="1" si="227"/>
        <v>6054.2942399999993</v>
      </c>
      <c r="K255" s="80">
        <f t="shared" ca="1" si="227"/>
        <v>6078.6702719999994</v>
      </c>
      <c r="L255" s="80">
        <f t="shared" ca="1" si="227"/>
        <v>6095.0579039999993</v>
      </c>
      <c r="M255" s="80">
        <f t="shared" ref="M255:N255" ca="1" si="228">SUM(M253:M254)</f>
        <v>5179.6785600000003</v>
      </c>
      <c r="N255" s="80">
        <f t="shared" ca="1" si="228"/>
        <v>4268.3732999999993</v>
      </c>
      <c r="O255" s="65"/>
      <c r="P255" s="65"/>
    </row>
    <row r="256" spans="3:16" s="33" customFormat="1" ht="5" customHeight="1" x14ac:dyDescent="0.2">
      <c r="C256" s="79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</row>
    <row r="257" spans="1:16" s="33" customFormat="1" ht="14.5" customHeight="1" x14ac:dyDescent="0.2">
      <c r="C257" s="79" t="s">
        <v>206</v>
      </c>
      <c r="D257" s="65"/>
      <c r="E257" s="65"/>
      <c r="F257" s="65"/>
      <c r="G257" s="65"/>
      <c r="H257" s="65">
        <f>SUM(G218-H218,G226-H226,G234-H234,G244-H244)</f>
        <v>97.239750000000029</v>
      </c>
      <c r="I257" s="65">
        <f t="shared" ref="I257:L257" si="229">SUM(H218-I218,H226-I226,H234-I234,H244-I244)</f>
        <v>97.239750000000001</v>
      </c>
      <c r="J257" s="65">
        <f t="shared" si="229"/>
        <v>97.239750000000001</v>
      </c>
      <c r="K257" s="65">
        <f t="shared" si="229"/>
        <v>97.239750000000001</v>
      </c>
      <c r="L257" s="65">
        <f t="shared" si="229"/>
        <v>97.239750000000001</v>
      </c>
      <c r="M257" s="65">
        <f t="shared" ref="M257:N257" si="230">SUM(L218-M218,L226-M226,L234-M234,L244-M244)</f>
        <v>97.239749999999972</v>
      </c>
      <c r="N257" s="65">
        <f t="shared" si="230"/>
        <v>24.963750000000022</v>
      </c>
      <c r="O257" s="65"/>
      <c r="P257" s="65"/>
    </row>
    <row r="258" spans="1:16" s="202" customFormat="1" ht="14.5" customHeight="1" x14ac:dyDescent="0.2">
      <c r="C258" s="203"/>
    </row>
    <row r="259" spans="1:16" s="202" customFormat="1" ht="14.5" customHeight="1" x14ac:dyDescent="0.2">
      <c r="C259" s="203" t="s">
        <v>217</v>
      </c>
    </row>
    <row r="260" spans="1:16" ht="14.5" customHeight="1" x14ac:dyDescent="0.2">
      <c r="C260" s="194" t="s">
        <v>218</v>
      </c>
      <c r="D260" s="194"/>
      <c r="E260" s="194"/>
      <c r="F260" s="194"/>
      <c r="G260" s="195">
        <f>-G288</f>
        <v>-23253.4</v>
      </c>
      <c r="H260" s="194"/>
      <c r="I260" s="194"/>
      <c r="J260" s="194"/>
      <c r="K260" s="194"/>
      <c r="L260" s="194"/>
      <c r="M260" s="194"/>
      <c r="N260" s="194"/>
    </row>
    <row r="261" spans="1:16" ht="14.5" customHeight="1" x14ac:dyDescent="0.2">
      <c r="C261" s="194" t="s">
        <v>219</v>
      </c>
      <c r="D261" s="194"/>
      <c r="E261" s="194"/>
      <c r="F261" s="194"/>
      <c r="G261" s="194"/>
      <c r="H261" s="195">
        <f ca="1">H107+H109+H110</f>
        <v>8964.4877500000002</v>
      </c>
      <c r="I261" s="195">
        <f t="shared" ref="I261:N261" ca="1" si="231">I107+I109+I110</f>
        <v>10670.801730799998</v>
      </c>
      <c r="J261" s="195">
        <f t="shared" ca="1" si="231"/>
        <v>12457.582221859197</v>
      </c>
      <c r="K261" s="195">
        <f t="shared" ca="1" si="231"/>
        <v>14415.664821773214</v>
      </c>
      <c r="L261" s="195">
        <f t="shared" ca="1" si="231"/>
        <v>16467.650312408445</v>
      </c>
      <c r="M261" s="195">
        <f t="shared" ca="1" si="231"/>
        <v>18513.951632709497</v>
      </c>
      <c r="N261" s="195">
        <f t="shared" ca="1" si="231"/>
        <v>20651.681058634633</v>
      </c>
    </row>
    <row r="262" spans="1:16" ht="14.5" customHeight="1" x14ac:dyDescent="0.2">
      <c r="C262" s="194" t="s">
        <v>220</v>
      </c>
      <c r="D262" s="194"/>
      <c r="E262" s="194"/>
      <c r="F262" s="194"/>
      <c r="G262" s="194"/>
      <c r="H262" s="195">
        <f ca="1">-1*(H261+H249)*$G$271</f>
        <v>-18690.75477597256</v>
      </c>
      <c r="I262" s="195">
        <f t="shared" ref="I262:N262" ca="1" si="232">-1*I261*$G$271</f>
        <v>-2987.8244846239995</v>
      </c>
      <c r="J262" s="195">
        <f t="shared" ca="1" si="232"/>
        <v>-3488.1230221205756</v>
      </c>
      <c r="K262" s="195">
        <f t="shared" ca="1" si="232"/>
        <v>-4036.3861500965004</v>
      </c>
      <c r="L262" s="195">
        <f t="shared" ca="1" si="232"/>
        <v>-4610.9420874743646</v>
      </c>
      <c r="M262" s="195">
        <f t="shared" ca="1" si="232"/>
        <v>-5183.9064571586596</v>
      </c>
      <c r="N262" s="195">
        <f t="shared" ca="1" si="232"/>
        <v>-5782.4706964176976</v>
      </c>
    </row>
    <row r="263" spans="1:16" ht="14.5" customHeight="1" x14ac:dyDescent="0.2">
      <c r="C263" s="194" t="s">
        <v>221</v>
      </c>
      <c r="D263" s="194"/>
      <c r="E263" s="194"/>
      <c r="F263" s="194"/>
      <c r="G263" s="194"/>
      <c r="H263" s="195">
        <f t="shared" ref="H263:N263" ca="1" si="233">H128</f>
        <v>-1499.472</v>
      </c>
      <c r="I263" s="195">
        <f t="shared" ca="1" si="233"/>
        <v>-1397.9781088000002</v>
      </c>
      <c r="J263" s="195">
        <f t="shared" ca="1" si="233"/>
        <v>-1398.7225429631999</v>
      </c>
      <c r="K263" s="195">
        <f t="shared" ca="1" si="233"/>
        <v>-1301.6750065248382</v>
      </c>
      <c r="L263" s="195">
        <f t="shared" ca="1" si="233"/>
        <v>-1470.7790739663837</v>
      </c>
      <c r="M263" s="195">
        <f t="shared" ca="1" si="233"/>
        <v>-1654.6264582121817</v>
      </c>
      <c r="N263" s="195">
        <f t="shared" ca="1" si="233"/>
        <v>-1853.1816331976436</v>
      </c>
    </row>
    <row r="264" spans="1:16" ht="14.5" customHeight="1" x14ac:dyDescent="0.2">
      <c r="C264" s="194" t="s">
        <v>222</v>
      </c>
      <c r="D264" s="194"/>
      <c r="E264" s="194"/>
      <c r="F264" s="194"/>
      <c r="G264" s="194"/>
      <c r="H264" s="195">
        <f t="shared" ref="H264:N264" ca="1" si="234">H127</f>
        <v>-2103.2784657534285</v>
      </c>
      <c r="I264" s="195">
        <f t="shared" ca="1" si="234"/>
        <v>-3072.30477369863</v>
      </c>
      <c r="J264" s="195">
        <f t="shared" ca="1" si="234"/>
        <v>-3120.8001082888695</v>
      </c>
      <c r="K264" s="195">
        <f t="shared" ca="1" si="234"/>
        <v>-3587.1505435770741</v>
      </c>
      <c r="L264" s="195">
        <f t="shared" ca="1" si="234"/>
        <v>-3542.1919686889451</v>
      </c>
      <c r="M264" s="195">
        <f t="shared" ca="1" si="234"/>
        <v>-3890.3595681173028</v>
      </c>
      <c r="N264" s="195">
        <f t="shared" ca="1" si="234"/>
        <v>-4201.5883335666877</v>
      </c>
    </row>
    <row r="265" spans="1:16" ht="14.5" customHeight="1" x14ac:dyDescent="0.2">
      <c r="C265" s="194" t="s">
        <v>223</v>
      </c>
      <c r="D265" s="194"/>
      <c r="E265" s="194"/>
      <c r="F265" s="194"/>
      <c r="G265" s="196">
        <f>SUM(G260:G264)</f>
        <v>-23253.4</v>
      </c>
      <c r="H265" s="196">
        <f t="shared" ref="H265:N265" ca="1" si="235">SUM(H260:H264)</f>
        <v>-13329.017491725988</v>
      </c>
      <c r="I265" s="196">
        <f t="shared" ca="1" si="235"/>
        <v>3212.6943636773685</v>
      </c>
      <c r="J265" s="196">
        <f t="shared" ca="1" si="235"/>
        <v>4449.9365484865521</v>
      </c>
      <c r="K265" s="196">
        <f t="shared" ca="1" si="235"/>
        <v>5490.4531215748029</v>
      </c>
      <c r="L265" s="196">
        <f t="shared" ca="1" si="235"/>
        <v>6843.7371822787518</v>
      </c>
      <c r="M265" s="196">
        <f t="shared" ca="1" si="235"/>
        <v>7785.0591492213516</v>
      </c>
      <c r="N265" s="196">
        <f t="shared" ca="1" si="235"/>
        <v>8814.4403954526024</v>
      </c>
    </row>
    <row r="266" spans="1:16" ht="13.25" customHeight="1" x14ac:dyDescent="0.2">
      <c r="A266" s="186"/>
      <c r="B266" s="186"/>
      <c r="C266" s="194" t="s">
        <v>224</v>
      </c>
      <c r="D266" s="194"/>
      <c r="E266" s="1" t="s">
        <v>225</v>
      </c>
      <c r="F266" s="1">
        <v>6</v>
      </c>
      <c r="G266" s="194"/>
      <c r="H266" s="194"/>
      <c r="I266" s="194"/>
      <c r="J266" s="194"/>
      <c r="K266" s="194"/>
      <c r="L266" s="194"/>
      <c r="M266" s="194"/>
      <c r="N266" s="205">
        <f ca="1">F266*N261</f>
        <v>123910.0863518078</v>
      </c>
    </row>
    <row r="267" spans="1:16" ht="14.5" customHeight="1" x14ac:dyDescent="0.2">
      <c r="A267" s="186"/>
      <c r="B267" s="186"/>
      <c r="C267" s="212" t="s">
        <v>226</v>
      </c>
      <c r="D267" s="198"/>
      <c r="E267" s="198"/>
      <c r="F267" s="198"/>
      <c r="G267" s="199">
        <v>0.25</v>
      </c>
      <c r="H267" s="194"/>
      <c r="I267" s="194"/>
      <c r="J267" s="194"/>
      <c r="K267" s="194"/>
      <c r="L267" s="194"/>
      <c r="M267" s="194"/>
      <c r="N267" s="194"/>
    </row>
    <row r="268" spans="1:16" ht="14.5" customHeight="1" x14ac:dyDescent="0.2">
      <c r="A268" s="186"/>
      <c r="B268" s="186"/>
      <c r="C268" s="198"/>
      <c r="D268" s="198"/>
      <c r="E268" s="198"/>
      <c r="F268" s="198"/>
      <c r="G268" s="204"/>
      <c r="H268" s="194"/>
      <c r="I268" s="194"/>
      <c r="J268" s="194"/>
      <c r="K268" s="194"/>
      <c r="L268" s="194"/>
      <c r="M268" s="194"/>
      <c r="N268" s="194"/>
    </row>
    <row r="269" spans="1:16" ht="14.5" customHeight="1" x14ac:dyDescent="0.2">
      <c r="C269" s="193" t="s">
        <v>227</v>
      </c>
      <c r="D269" s="194"/>
      <c r="E269" s="194"/>
      <c r="F269" s="194"/>
      <c r="G269" s="197">
        <f ca="1">G265+NPV(G267,H265:N265) + N266/(1+G267)^N206</f>
        <v>4784.4805280045257</v>
      </c>
      <c r="H269" s="194"/>
      <c r="I269" s="194"/>
      <c r="J269" s="194"/>
      <c r="K269" s="194"/>
      <c r="L269" s="194"/>
      <c r="M269" s="194"/>
      <c r="N269" s="194"/>
    </row>
    <row r="270" spans="1:16" ht="5" customHeight="1" x14ac:dyDescent="0.2">
      <c r="C270" s="194"/>
      <c r="D270" s="194"/>
      <c r="E270" s="194"/>
      <c r="F270" s="194"/>
      <c r="G270" s="194"/>
      <c r="H270" s="194"/>
      <c r="I270" s="194"/>
      <c r="J270" s="194"/>
      <c r="K270" s="194"/>
      <c r="L270" s="194"/>
      <c r="M270" s="194"/>
      <c r="N270" s="194"/>
    </row>
    <row r="271" spans="1:16" ht="14.5" customHeight="1" x14ac:dyDescent="0.2">
      <c r="C271" s="198" t="s">
        <v>134</v>
      </c>
      <c r="D271" s="198"/>
      <c r="E271" s="198"/>
      <c r="F271" s="198"/>
      <c r="G271" s="200">
        <f>D114</f>
        <v>0.28000000000000003</v>
      </c>
      <c r="H271" s="194"/>
      <c r="I271" s="194"/>
      <c r="J271" s="194"/>
      <c r="K271" s="194"/>
      <c r="L271" s="194"/>
      <c r="M271" s="194"/>
      <c r="N271" s="194"/>
    </row>
    <row r="272" spans="1:16" ht="14.5" customHeight="1" x14ac:dyDescent="0.2">
      <c r="C272" s="194" t="s">
        <v>213</v>
      </c>
      <c r="D272" s="194"/>
      <c r="E272" s="194"/>
      <c r="F272" s="194"/>
      <c r="G272" s="195">
        <f>G249</f>
        <v>57630.6</v>
      </c>
      <c r="H272" s="194"/>
      <c r="I272" s="194"/>
      <c r="J272" s="194"/>
      <c r="K272" s="194"/>
      <c r="L272" s="194"/>
      <c r="M272" s="194"/>
      <c r="N272" s="194"/>
    </row>
    <row r="273" spans="1:16" ht="14.5" customHeight="1" x14ac:dyDescent="0.2">
      <c r="C273" s="212" t="s">
        <v>228</v>
      </c>
      <c r="D273" s="194"/>
      <c r="E273" s="194"/>
      <c r="F273" s="194"/>
      <c r="G273" s="199">
        <v>5.45E-2</v>
      </c>
      <c r="H273" s="194"/>
      <c r="I273" s="194"/>
      <c r="J273" s="194"/>
      <c r="K273" s="194"/>
      <c r="L273" s="194"/>
      <c r="M273" s="194"/>
      <c r="N273" s="194"/>
    </row>
    <row r="274" spans="1:16" ht="14.5" customHeight="1" x14ac:dyDescent="0.2">
      <c r="A274" s="186"/>
      <c r="B274" s="186"/>
      <c r="C274" s="198"/>
      <c r="D274" s="198"/>
      <c r="E274" s="198"/>
      <c r="F274" s="198"/>
      <c r="G274" s="200"/>
      <c r="H274" s="195">
        <f t="shared" ref="H274:N274" ca="1" si="236">H255</f>
        <v>5981.5769760000003</v>
      </c>
      <c r="I274" s="195">
        <f t="shared" ca="1" si="236"/>
        <v>6021.929807999999</v>
      </c>
      <c r="J274" s="195">
        <f t="shared" ca="1" si="236"/>
        <v>6054.2942399999993</v>
      </c>
      <c r="K274" s="195">
        <f t="shared" ca="1" si="236"/>
        <v>6078.6702719999994</v>
      </c>
      <c r="L274" s="195">
        <f t="shared" ca="1" si="236"/>
        <v>6095.0579039999993</v>
      </c>
      <c r="M274" s="195">
        <f t="shared" ca="1" si="236"/>
        <v>5179.6785600000003</v>
      </c>
      <c r="N274" s="195">
        <f t="shared" ca="1" si="236"/>
        <v>4268.3732999999993</v>
      </c>
      <c r="P274" s="207" t="s">
        <v>229</v>
      </c>
    </row>
    <row r="275" spans="1:16" ht="14.5" customHeight="1" x14ac:dyDescent="0.2">
      <c r="C275" s="193" t="s">
        <v>230</v>
      </c>
      <c r="D275" s="194"/>
      <c r="E275" s="194"/>
      <c r="F275" s="194"/>
      <c r="G275" s="201">
        <f ca="1">NPV(G273,H274:N274)</f>
        <v>32553.188684657685</v>
      </c>
      <c r="H275" s="197" t="s">
        <v>231</v>
      </c>
      <c r="I275" s="194"/>
      <c r="J275" s="194"/>
      <c r="K275" s="194"/>
      <c r="L275" s="194"/>
      <c r="M275" s="194"/>
      <c r="N275" s="194"/>
    </row>
    <row r="276" spans="1:16" ht="5" customHeight="1" x14ac:dyDescent="0.2">
      <c r="C276" s="194"/>
      <c r="D276" s="194"/>
      <c r="E276" s="194"/>
      <c r="F276" s="194"/>
      <c r="G276" s="194"/>
      <c r="H276" s="194"/>
      <c r="I276" s="194"/>
      <c r="J276" s="194"/>
      <c r="K276" s="194"/>
      <c r="L276" s="194"/>
      <c r="M276" s="194"/>
      <c r="N276" s="194"/>
    </row>
    <row r="277" spans="1:16" ht="14.5" customHeight="1" x14ac:dyDescent="0.2">
      <c r="C277" s="193" t="s">
        <v>232</v>
      </c>
      <c r="D277" s="193"/>
      <c r="E277" s="193"/>
      <c r="F277" s="193"/>
      <c r="G277" s="197">
        <f ca="1">SUM(G269,H275)</f>
        <v>4784.4805280045257</v>
      </c>
      <c r="H277" s="194"/>
      <c r="I277" s="194"/>
      <c r="J277" s="194"/>
      <c r="K277" s="194"/>
      <c r="L277" s="194"/>
      <c r="M277" s="194"/>
      <c r="N277" s="194"/>
    </row>
    <row r="278" spans="1:16" ht="10.25" customHeight="1" x14ac:dyDescent="0.2"/>
    <row r="279" spans="1:16" ht="18" x14ac:dyDescent="0.35">
      <c r="A279" t="s">
        <v>15</v>
      </c>
      <c r="C279" s="118" t="s">
        <v>233</v>
      </c>
      <c r="D279" s="119" t="s">
        <v>114</v>
      </c>
      <c r="E279" s="119"/>
      <c r="F279" s="119"/>
      <c r="G279" s="119" t="s">
        <v>77</v>
      </c>
      <c r="H279" s="119" t="s">
        <v>78</v>
      </c>
      <c r="I279" s="119"/>
      <c r="J279" s="119"/>
      <c r="K279" s="119"/>
      <c r="L279" s="119"/>
      <c r="M279" s="119"/>
      <c r="N279" s="119"/>
      <c r="P279" s="119"/>
    </row>
    <row r="280" spans="1:16" ht="18" x14ac:dyDescent="0.35">
      <c r="C280" s="120" t="s">
        <v>79</v>
      </c>
      <c r="D280" s="121" t="s">
        <v>115</v>
      </c>
      <c r="E280" s="121" t="s">
        <v>116</v>
      </c>
      <c r="F280" s="121" t="s">
        <v>117</v>
      </c>
      <c r="G280" s="121" t="s">
        <v>80</v>
      </c>
      <c r="H280" s="121" t="s">
        <v>81</v>
      </c>
      <c r="I280" s="121" t="s">
        <v>82</v>
      </c>
      <c r="J280" s="121" t="s">
        <v>83</v>
      </c>
      <c r="K280" s="121" t="s">
        <v>84</v>
      </c>
      <c r="L280" s="121" t="s">
        <v>85</v>
      </c>
      <c r="M280" s="121" t="s">
        <v>86</v>
      </c>
      <c r="N280" s="121" t="s">
        <v>87</v>
      </c>
      <c r="P280" s="117" t="s">
        <v>17</v>
      </c>
    </row>
    <row r="281" spans="1:16" ht="18" x14ac:dyDescent="0.35">
      <c r="C281" s="110" t="s">
        <v>193</v>
      </c>
      <c r="D281" s="111"/>
      <c r="E281" s="111"/>
      <c r="F281" s="111"/>
      <c r="G281" s="112">
        <v>0</v>
      </c>
      <c r="H281" s="113">
        <f>G281+1</f>
        <v>1</v>
      </c>
      <c r="I281" s="113">
        <f t="shared" ref="I281:L281" si="237">H281+1</f>
        <v>2</v>
      </c>
      <c r="J281" s="113">
        <f t="shared" si="237"/>
        <v>3</v>
      </c>
      <c r="K281" s="113">
        <f t="shared" si="237"/>
        <v>4</v>
      </c>
      <c r="L281" s="113">
        <f t="shared" si="237"/>
        <v>5</v>
      </c>
      <c r="M281" s="113">
        <f t="shared" ref="M281:N281" si="238">L281+1</f>
        <v>6</v>
      </c>
      <c r="N281" s="113">
        <f t="shared" si="238"/>
        <v>7</v>
      </c>
      <c r="P281" s="155"/>
    </row>
    <row r="282" spans="1:16" ht="5" customHeight="1" x14ac:dyDescent="0.2"/>
    <row r="283" spans="1:16" ht="14.5" customHeight="1" x14ac:dyDescent="0.2">
      <c r="C283" t="s">
        <v>127</v>
      </c>
      <c r="D283" s="6">
        <f t="shared" ref="D283:N283" si="239">D107</f>
        <v>2600</v>
      </c>
      <c r="E283" s="6">
        <f t="shared" si="239"/>
        <v>3942</v>
      </c>
      <c r="F283" s="6">
        <f t="shared" si="239"/>
        <v>5324</v>
      </c>
      <c r="G283" s="6">
        <f t="shared" si="239"/>
        <v>5706</v>
      </c>
      <c r="H283" s="6">
        <f t="shared" ca="1" si="239"/>
        <v>7367.7759999999998</v>
      </c>
      <c r="I283" s="6">
        <f t="shared" ca="1" si="239"/>
        <v>9175.5838719999974</v>
      </c>
      <c r="J283" s="6">
        <f t="shared" ca="1" si="239"/>
        <v>10961.619928895996</v>
      </c>
      <c r="K283" s="6">
        <f t="shared" ca="1" si="239"/>
        <v>13016.750065248376</v>
      </c>
      <c r="L283" s="6">
        <f t="shared" ca="1" si="239"/>
        <v>14899.631488442061</v>
      </c>
      <c r="M283" s="6">
        <f t="shared" ca="1" si="239"/>
        <v>16762.085424497316</v>
      </c>
      <c r="N283" s="6">
        <f t="shared" ca="1" si="239"/>
        <v>18773.53567543699</v>
      </c>
    </row>
    <row r="284" spans="1:16" ht="14.5" customHeight="1" x14ac:dyDescent="0.2">
      <c r="C284" t="s">
        <v>234</v>
      </c>
      <c r="D284" s="6"/>
      <c r="E284" s="6"/>
      <c r="F284" s="6"/>
      <c r="G284" s="154">
        <f>$G$23</f>
        <v>14</v>
      </c>
      <c r="H284" s="154">
        <f>$L$23</f>
        <v>14</v>
      </c>
      <c r="I284" s="154">
        <f t="shared" ref="I284:N284" si="240">$L$23</f>
        <v>14</v>
      </c>
      <c r="J284" s="154">
        <f t="shared" si="240"/>
        <v>14</v>
      </c>
      <c r="K284" s="154">
        <f t="shared" si="240"/>
        <v>14</v>
      </c>
      <c r="L284" s="154">
        <f t="shared" si="240"/>
        <v>14</v>
      </c>
      <c r="M284" s="154">
        <f t="shared" si="240"/>
        <v>14</v>
      </c>
      <c r="N284" s="154">
        <f t="shared" si="240"/>
        <v>14</v>
      </c>
    </row>
    <row r="285" spans="1:16" ht="14.5" customHeight="1" x14ac:dyDescent="0.2">
      <c r="C285" t="s">
        <v>28</v>
      </c>
      <c r="D285" s="6"/>
      <c r="E285" s="6"/>
      <c r="F285" s="6"/>
      <c r="G285" s="8">
        <f>G283*G284</f>
        <v>79884</v>
      </c>
      <c r="H285" s="8">
        <f t="shared" ref="H285:L285" ca="1" si="241">H283*H284</f>
        <v>103148.864</v>
      </c>
      <c r="I285" s="8">
        <f t="shared" ca="1" si="241"/>
        <v>128458.17420799997</v>
      </c>
      <c r="J285" s="8">
        <f t="shared" ca="1" si="241"/>
        <v>153462.67900454396</v>
      </c>
      <c r="K285" s="8">
        <f t="shared" ca="1" si="241"/>
        <v>182234.50091347727</v>
      </c>
      <c r="L285" s="8">
        <f t="shared" ca="1" si="241"/>
        <v>208594.84083818886</v>
      </c>
      <c r="M285" s="8">
        <f t="shared" ref="M285" ca="1" si="242">M283*M284</f>
        <v>234669.19594296243</v>
      </c>
      <c r="N285" s="8">
        <f t="shared" ref="N285" ca="1" si="243">N283*N284</f>
        <v>262829.49945611786</v>
      </c>
    </row>
    <row r="286" spans="1:16" ht="14.5" customHeight="1" x14ac:dyDescent="0.2">
      <c r="C286" t="s">
        <v>30</v>
      </c>
      <c r="D286" s="6"/>
      <c r="E286" s="6"/>
      <c r="F286" s="6"/>
      <c r="G286" s="6">
        <f t="shared" ref="G286:N286" si="244">G249</f>
        <v>57630.6</v>
      </c>
      <c r="H286" s="6">
        <f t="shared" ca="1" si="244"/>
        <v>57788.207878473426</v>
      </c>
      <c r="I286" s="6">
        <f t="shared" ca="1" si="244"/>
        <v>59569.198834428054</v>
      </c>
      <c r="J286" s="6">
        <f t="shared" ca="1" si="244"/>
        <v>60136.577547645313</v>
      </c>
      <c r="K286" s="6">
        <f t="shared" ca="1" si="244"/>
        <v>59638.289514781442</v>
      </c>
      <c r="L286" s="6">
        <f t="shared" ca="1" si="244"/>
        <v>57872.922305927896</v>
      </c>
      <c r="M286" s="6">
        <f t="shared" ca="1" si="244"/>
        <v>54588.052851519904</v>
      </c>
      <c r="N286" s="6">
        <f t="shared" ca="1" si="244"/>
        <v>49673.225200674264</v>
      </c>
    </row>
    <row r="287" spans="1:16" ht="14.5" customHeight="1" x14ac:dyDescent="0.2">
      <c r="C287" t="s">
        <v>235</v>
      </c>
      <c r="D287" s="6"/>
      <c r="E287" s="6"/>
      <c r="F287" s="6"/>
      <c r="G287" s="6">
        <f t="shared" ref="G287:N287" si="245">G147</f>
        <v>1000</v>
      </c>
      <c r="H287" s="6">
        <f t="shared" ca="1" si="245"/>
        <v>-1000</v>
      </c>
      <c r="I287" s="6">
        <f t="shared" ca="1" si="245"/>
        <v>-1000</v>
      </c>
      <c r="J287" s="6">
        <f t="shared" ca="1" si="245"/>
        <v>-1000</v>
      </c>
      <c r="K287" s="6">
        <f t="shared" ca="1" si="245"/>
        <v>-1000</v>
      </c>
      <c r="L287" s="6">
        <f t="shared" ca="1" si="245"/>
        <v>-1000</v>
      </c>
      <c r="M287" s="6">
        <f t="shared" ca="1" si="245"/>
        <v>-1000</v>
      </c>
      <c r="N287" s="6">
        <f t="shared" ca="1" si="245"/>
        <v>-1000</v>
      </c>
    </row>
    <row r="288" spans="1:16" ht="14.5" customHeight="1" x14ac:dyDescent="0.2">
      <c r="C288" t="s">
        <v>34</v>
      </c>
      <c r="D288" s="6"/>
      <c r="E288" s="6"/>
      <c r="F288" s="6"/>
      <c r="G288" s="8">
        <f>G285-G286+G287</f>
        <v>23253.4</v>
      </c>
      <c r="H288" s="8">
        <f t="shared" ref="H288:L288" ca="1" si="246">H285-H286+H287</f>
        <v>44360.656121526576</v>
      </c>
      <c r="I288" s="8">
        <f t="shared" ca="1" si="246"/>
        <v>67888.975373571913</v>
      </c>
      <c r="J288" s="8">
        <f t="shared" ca="1" si="246"/>
        <v>92326.101456898643</v>
      </c>
      <c r="K288" s="8">
        <f t="shared" ca="1" si="246"/>
        <v>121596.21139869583</v>
      </c>
      <c r="L288" s="8">
        <f t="shared" ca="1" si="246"/>
        <v>149721.91853226096</v>
      </c>
      <c r="M288" s="8">
        <f t="shared" ref="M288" ca="1" si="247">M285-M286+M287</f>
        <v>179081.14309144253</v>
      </c>
      <c r="N288" s="8">
        <f t="shared" ref="N288" ca="1" si="248">N285-N286+N287</f>
        <v>212156.2742554436</v>
      </c>
    </row>
    <row r="289" spans="1:17" ht="5" customHeight="1" x14ac:dyDescent="0.2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7" ht="14.5" customHeight="1" x14ac:dyDescent="0.2">
      <c r="C290" t="s">
        <v>236</v>
      </c>
      <c r="D290" s="6"/>
      <c r="E290" s="6"/>
      <c r="F290" s="6"/>
      <c r="G290" s="6">
        <f>-G288</f>
        <v>-23253.4</v>
      </c>
      <c r="H290" s="6">
        <f t="shared" ref="H290:N290" si="249">IF($L$18=H281,H$288,0)</f>
        <v>0</v>
      </c>
      <c r="I290" s="6">
        <f t="shared" si="249"/>
        <v>0</v>
      </c>
      <c r="J290" s="6">
        <f t="shared" si="249"/>
        <v>0</v>
      </c>
      <c r="K290" s="6">
        <f t="shared" si="249"/>
        <v>0</v>
      </c>
      <c r="L290" s="6">
        <f t="shared" ca="1" si="249"/>
        <v>149721.91853226096</v>
      </c>
      <c r="M290" s="6">
        <f t="shared" si="249"/>
        <v>0</v>
      </c>
      <c r="N290" s="6">
        <f t="shared" si="249"/>
        <v>0</v>
      </c>
    </row>
    <row r="291" spans="1:17" ht="14.5" customHeight="1" x14ac:dyDescent="0.2">
      <c r="C291" s="33" t="s">
        <v>237</v>
      </c>
      <c r="D291" s="65"/>
      <c r="E291" s="65"/>
      <c r="F291" s="65"/>
      <c r="G291" s="65"/>
      <c r="H291" s="31" t="str">
        <f>IF($L$18=H$281,IRR($G290:H290,),"NM")</f>
        <v>NM</v>
      </c>
      <c r="I291" s="31" t="str">
        <f>IF($L$18=I$281,IRR($G290:I290,),"NM")</f>
        <v>NM</v>
      </c>
      <c r="J291" s="31" t="str">
        <f>IF($L$18=J$281,IRR($G290:J290,),"NM")</f>
        <v>NM</v>
      </c>
      <c r="K291" s="31" t="str">
        <f>IF($L$18=K$281,IRR($G290:K290,),"NM")</f>
        <v>NM</v>
      </c>
      <c r="L291" s="31">
        <f ca="1">IF($L$18=L$281,IRR($G290:L290,),"NM")</f>
        <v>0.45130865172340773</v>
      </c>
      <c r="M291" s="31" t="str">
        <f>IF($L$18=M$281,IRR($G290:M290,),"NM")</f>
        <v>NM</v>
      </c>
      <c r="N291" s="31" t="str">
        <f>IF($L$18=N$281,IRR($G290:N290,),"NM")</f>
        <v>NM</v>
      </c>
    </row>
    <row r="292" spans="1:17" ht="14.5" customHeight="1" x14ac:dyDescent="0.2">
      <c r="C292" s="33" t="s">
        <v>238</v>
      </c>
      <c r="D292" s="65"/>
      <c r="E292" s="65"/>
      <c r="F292" s="65"/>
      <c r="G292" s="65"/>
      <c r="H292" s="156" t="str">
        <f t="shared" ref="H292:N292" si="250">IF($L$18=H$281,H290/-$G290,"NM")</f>
        <v>NM</v>
      </c>
      <c r="I292" s="156" t="str">
        <f t="shared" si="250"/>
        <v>NM</v>
      </c>
      <c r="J292" s="156" t="str">
        <f t="shared" si="250"/>
        <v>NM</v>
      </c>
      <c r="K292" s="156" t="str">
        <f t="shared" si="250"/>
        <v>NM</v>
      </c>
      <c r="L292" s="156">
        <f t="shared" ca="1" si="250"/>
        <v>6.4387108350719009</v>
      </c>
      <c r="M292" s="156" t="str">
        <f t="shared" si="250"/>
        <v>NM</v>
      </c>
      <c r="N292" s="156" t="str">
        <f t="shared" si="250"/>
        <v>NM</v>
      </c>
    </row>
    <row r="293" spans="1:17" ht="10.25" customHeight="1" x14ac:dyDescent="0.2">
      <c r="A293" t="s">
        <v>15</v>
      </c>
      <c r="Q293" t="s">
        <v>15</v>
      </c>
    </row>
    <row r="294" spans="1:17" x14ac:dyDescent="0.2">
      <c r="H294" s="163"/>
    </row>
  </sheetData>
  <conditionalFormatting sqref="G214:N214">
    <cfRule type="cellIs" dxfId="3" priority="4" operator="lessThan">
      <formula>0</formula>
    </cfRule>
  </conditionalFormatting>
  <conditionalFormatting sqref="G147:N147">
    <cfRule type="cellIs" dxfId="2" priority="3" operator="lessThan">
      <formula>0</formula>
    </cfRule>
  </conditionalFormatting>
  <conditionalFormatting sqref="G30">
    <cfRule type="cellIs" dxfId="1" priority="2" operator="equal">
      <formula>"CHECK"</formula>
    </cfRule>
  </conditionalFormatting>
  <conditionalFormatting sqref="G29">
    <cfRule type="cellIs" dxfId="0" priority="1" operator="equal">
      <formula>"CHECK"</formula>
    </cfRule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B1:E30"/>
  <sheetViews>
    <sheetView showGridLines="0" tabSelected="1" workbookViewId="0"/>
  </sheetViews>
  <sheetFormatPr baseColWidth="10" defaultColWidth="8.83203125" defaultRowHeight="15" x14ac:dyDescent="0.2"/>
  <cols>
    <col min="1" max="1" width="1.5" customWidth="1"/>
    <col min="2" max="2" width="48" bestFit="1" customWidth="1"/>
    <col min="3" max="5" width="13.1640625" customWidth="1"/>
    <col min="6" max="6" width="1.5" customWidth="1"/>
  </cols>
  <sheetData>
    <row r="1" spans="2:5" ht="10.25" customHeight="1" x14ac:dyDescent="0.2"/>
    <row r="2" spans="2:5" x14ac:dyDescent="0.2">
      <c r="B2" s="5" t="s">
        <v>411</v>
      </c>
      <c r="C2" s="5"/>
      <c r="D2" s="5"/>
      <c r="E2" s="5"/>
    </row>
    <row r="3" spans="2:5" ht="18" x14ac:dyDescent="0.35">
      <c r="B3" s="22" t="s">
        <v>310</v>
      </c>
      <c r="C3" s="54" t="s">
        <v>412</v>
      </c>
      <c r="D3" s="59" t="s">
        <v>413</v>
      </c>
      <c r="E3" s="54" t="s">
        <v>308</v>
      </c>
    </row>
    <row r="4" spans="2:5" ht="5" customHeight="1" x14ac:dyDescent="0.2">
      <c r="D4" s="48"/>
    </row>
    <row r="5" spans="2:5" x14ac:dyDescent="0.2">
      <c r="B5" s="9" t="s">
        <v>414</v>
      </c>
      <c r="D5" s="48"/>
    </row>
    <row r="6" spans="2:5" x14ac:dyDescent="0.2">
      <c r="B6" t="s">
        <v>415</v>
      </c>
      <c r="C6" s="7">
        <v>5326</v>
      </c>
      <c r="D6" s="60">
        <v>0</v>
      </c>
      <c r="E6" s="6">
        <f>SUM(C6:D6)</f>
        <v>5326</v>
      </c>
    </row>
    <row r="7" spans="2:5" x14ac:dyDescent="0.2">
      <c r="B7" t="s">
        <v>372</v>
      </c>
      <c r="C7" s="7">
        <v>2000</v>
      </c>
      <c r="D7" s="60">
        <v>0</v>
      </c>
      <c r="E7" s="6">
        <f t="shared" ref="E7:E9" si="0">SUM(C7:D7)</f>
        <v>2000</v>
      </c>
    </row>
    <row r="8" spans="2:5" x14ac:dyDescent="0.2">
      <c r="B8" t="s">
        <v>416</v>
      </c>
      <c r="C8" s="7">
        <v>927</v>
      </c>
      <c r="D8" s="60">
        <v>0</v>
      </c>
      <c r="E8" s="6">
        <f t="shared" si="0"/>
        <v>927</v>
      </c>
    </row>
    <row r="9" spans="2:5" x14ac:dyDescent="0.2">
      <c r="B9" t="s">
        <v>417</v>
      </c>
      <c r="C9" s="7">
        <v>-418</v>
      </c>
      <c r="D9" s="60">
        <v>0</v>
      </c>
      <c r="E9" s="6">
        <f t="shared" si="0"/>
        <v>-418</v>
      </c>
    </row>
    <row r="10" spans="2:5" x14ac:dyDescent="0.2">
      <c r="B10" s="9" t="s">
        <v>414</v>
      </c>
      <c r="C10" s="58">
        <f>SUM(C6:C9)</f>
        <v>7835</v>
      </c>
      <c r="D10" s="61">
        <f t="shared" ref="D10:E10" si="1">SUM(D6:D9)</f>
        <v>0</v>
      </c>
      <c r="E10" s="58">
        <f t="shared" si="1"/>
        <v>7835</v>
      </c>
    </row>
    <row r="11" spans="2:5" ht="5" customHeight="1" x14ac:dyDescent="0.2">
      <c r="C11" s="7"/>
      <c r="D11" s="60"/>
      <c r="E11" s="6"/>
    </row>
    <row r="12" spans="2:5" x14ac:dyDescent="0.2">
      <c r="B12" s="9" t="s">
        <v>418</v>
      </c>
      <c r="C12" s="7"/>
      <c r="D12" s="60"/>
      <c r="E12" s="6"/>
    </row>
    <row r="13" spans="2:5" x14ac:dyDescent="0.2">
      <c r="B13" t="s">
        <v>388</v>
      </c>
      <c r="C13" s="7">
        <v>2602</v>
      </c>
      <c r="D13" s="60">
        <v>0</v>
      </c>
      <c r="E13" s="6">
        <f>SUM(C13:D13)</f>
        <v>2602</v>
      </c>
    </row>
    <row r="14" spans="2:5" x14ac:dyDescent="0.2">
      <c r="B14" t="s">
        <v>389</v>
      </c>
      <c r="C14" s="7">
        <v>1068</v>
      </c>
      <c r="D14" s="60">
        <v>0</v>
      </c>
      <c r="E14" s="6">
        <f t="shared" ref="E14:E23" si="2">SUM(C14:D14)</f>
        <v>1068</v>
      </c>
    </row>
    <row r="15" spans="2:5" x14ac:dyDescent="0.2">
      <c r="B15" t="s">
        <v>419</v>
      </c>
      <c r="C15" s="7">
        <v>100</v>
      </c>
      <c r="D15" s="60">
        <v>0</v>
      </c>
      <c r="E15" s="6">
        <f t="shared" si="2"/>
        <v>100</v>
      </c>
    </row>
    <row r="16" spans="2:5" x14ac:dyDescent="0.2">
      <c r="B16" t="s">
        <v>420</v>
      </c>
      <c r="C16" s="7">
        <v>70</v>
      </c>
      <c r="D16" s="60">
        <v>0</v>
      </c>
      <c r="E16" s="6">
        <f t="shared" si="2"/>
        <v>70</v>
      </c>
    </row>
    <row r="17" spans="2:5" x14ac:dyDescent="0.2">
      <c r="B17" t="s">
        <v>421</v>
      </c>
      <c r="C17" s="7">
        <v>50</v>
      </c>
      <c r="D17" s="60">
        <v>0</v>
      </c>
      <c r="E17" s="6">
        <f t="shared" si="2"/>
        <v>50</v>
      </c>
    </row>
    <row r="18" spans="2:5" x14ac:dyDescent="0.2">
      <c r="B18" t="s">
        <v>422</v>
      </c>
      <c r="C18" s="7">
        <v>41</v>
      </c>
      <c r="D18" s="60">
        <v>0</v>
      </c>
      <c r="E18" s="6">
        <f t="shared" si="2"/>
        <v>41</v>
      </c>
    </row>
    <row r="19" spans="2:5" x14ac:dyDescent="0.2">
      <c r="B19" t="s">
        <v>423</v>
      </c>
      <c r="C19" s="7">
        <v>23</v>
      </c>
      <c r="D19" s="60">
        <v>0</v>
      </c>
      <c r="E19" s="6">
        <f t="shared" si="2"/>
        <v>23</v>
      </c>
    </row>
    <row r="20" spans="2:5" x14ac:dyDescent="0.2">
      <c r="B20" t="s">
        <v>424</v>
      </c>
      <c r="C20" s="7">
        <v>22</v>
      </c>
      <c r="D20" s="60">
        <v>0</v>
      </c>
      <c r="E20" s="6">
        <f t="shared" si="2"/>
        <v>22</v>
      </c>
    </row>
    <row r="21" spans="2:5" x14ac:dyDescent="0.2">
      <c r="B21" t="s">
        <v>425</v>
      </c>
      <c r="C21" s="7">
        <v>0</v>
      </c>
      <c r="D21" s="62" t="s">
        <v>318</v>
      </c>
      <c r="E21" s="6">
        <f t="shared" si="2"/>
        <v>0</v>
      </c>
    </row>
    <row r="22" spans="2:5" x14ac:dyDescent="0.2">
      <c r="B22" t="s">
        <v>426</v>
      </c>
      <c r="C22" s="7">
        <v>0</v>
      </c>
      <c r="D22" s="62" t="s">
        <v>318</v>
      </c>
      <c r="E22" s="6">
        <f t="shared" si="2"/>
        <v>0</v>
      </c>
    </row>
    <row r="23" spans="2:5" x14ac:dyDescent="0.2">
      <c r="B23" t="s">
        <v>427</v>
      </c>
      <c r="C23" s="7">
        <v>0</v>
      </c>
      <c r="D23" s="62" t="s">
        <v>318</v>
      </c>
      <c r="E23" s="6">
        <f t="shared" si="2"/>
        <v>0</v>
      </c>
    </row>
    <row r="24" spans="2:5" x14ac:dyDescent="0.2">
      <c r="B24" s="9" t="s">
        <v>428</v>
      </c>
      <c r="C24" s="10">
        <f>SUM(C13:C23)</f>
        <v>3976</v>
      </c>
      <c r="D24" s="11">
        <f t="shared" ref="D24:E24" si="3">SUM(D13:D23)</f>
        <v>0</v>
      </c>
      <c r="E24" s="10">
        <f t="shared" si="3"/>
        <v>3976</v>
      </c>
    </row>
    <row r="25" spans="2:5" ht="5" customHeight="1" x14ac:dyDescent="0.2">
      <c r="D25" s="48"/>
    </row>
    <row r="26" spans="2:5" x14ac:dyDescent="0.2">
      <c r="B26" s="9" t="s">
        <v>429</v>
      </c>
      <c r="C26" s="10">
        <f>SUM(C10,C24)</f>
        <v>11811</v>
      </c>
      <c r="D26" s="11">
        <f t="shared" ref="D26:E26" si="4">SUM(D10,D24)</f>
        <v>0</v>
      </c>
      <c r="E26" s="10">
        <f t="shared" si="4"/>
        <v>11811</v>
      </c>
    </row>
    <row r="27" spans="2:5" ht="5" customHeight="1" x14ac:dyDescent="0.2">
      <c r="D27" s="48"/>
    </row>
    <row r="28" spans="2:5" x14ac:dyDescent="0.2">
      <c r="B28" s="9" t="s">
        <v>430</v>
      </c>
      <c r="D28" s="48"/>
    </row>
    <row r="29" spans="2:5" x14ac:dyDescent="0.2">
      <c r="B29" t="s">
        <v>431</v>
      </c>
      <c r="C29" s="7">
        <v>0</v>
      </c>
      <c r="D29" s="62" t="s">
        <v>318</v>
      </c>
      <c r="E29" s="6">
        <f t="shared" ref="E29" si="5">SUM(C29:D29)</f>
        <v>0</v>
      </c>
    </row>
    <row r="30" spans="2:5" ht="10.25" customHeight="1" x14ac:dyDescent="0.2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E78FA-7981-46DB-BDC7-353097D00905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/>
  </sheetPr>
  <dimension ref="A1"/>
  <sheetViews>
    <sheetView showGridLines="0" zoomScaleNormal="100" workbookViewId="0"/>
  </sheetViews>
  <sheetFormatPr baseColWidth="10" defaultColWidth="8.83203125" defaultRowHeight="15" x14ac:dyDescent="0.2"/>
  <cols>
    <col min="1" max="1" width="1.5" customWidth="1"/>
  </cols>
  <sheetData>
    <row r="1" ht="10.2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L21"/>
  <sheetViews>
    <sheetView showGridLines="0" workbookViewId="0"/>
  </sheetViews>
  <sheetFormatPr baseColWidth="10" defaultColWidth="8.83203125" defaultRowHeight="15" x14ac:dyDescent="0.2"/>
  <cols>
    <col min="1" max="1" width="1.5" customWidth="1"/>
    <col min="2" max="2" width="34.6640625" bestFit="1" customWidth="1"/>
    <col min="3" max="12" width="13.1640625" customWidth="1"/>
    <col min="13" max="13" width="1.5" customWidth="1"/>
  </cols>
  <sheetData>
    <row r="1" spans="2:12" ht="10.25" customHeight="1" x14ac:dyDescent="0.2"/>
    <row r="2" spans="2:12" ht="18" x14ac:dyDescent="0.35">
      <c r="B2" s="5" t="s">
        <v>239</v>
      </c>
      <c r="C2" s="2" t="s">
        <v>114</v>
      </c>
      <c r="D2" s="2"/>
      <c r="E2" s="2"/>
      <c r="F2" s="2"/>
      <c r="G2" s="2" t="s">
        <v>77</v>
      </c>
      <c r="H2" s="2" t="s">
        <v>78</v>
      </c>
      <c r="I2" s="2"/>
      <c r="J2" s="2"/>
      <c r="K2" s="2"/>
      <c r="L2" s="2"/>
    </row>
    <row r="3" spans="2:12" ht="18" x14ac:dyDescent="0.35">
      <c r="B3" s="4" t="s">
        <v>79</v>
      </c>
      <c r="C3" s="3">
        <v>2015</v>
      </c>
      <c r="D3" s="3">
        <v>2016</v>
      </c>
      <c r="E3" s="3">
        <v>2017</v>
      </c>
      <c r="F3" s="3" t="s">
        <v>240</v>
      </c>
      <c r="G3" s="3">
        <v>2018</v>
      </c>
      <c r="H3" s="3">
        <v>2019</v>
      </c>
      <c r="I3" s="3">
        <v>2020</v>
      </c>
      <c r="J3" s="3">
        <v>2021</v>
      </c>
      <c r="K3" s="3">
        <v>2022</v>
      </c>
      <c r="L3" s="3">
        <v>2023</v>
      </c>
    </row>
    <row r="4" spans="2:12" ht="5" customHeight="1" x14ac:dyDescent="0.2"/>
    <row r="5" spans="2:12" x14ac:dyDescent="0.2">
      <c r="B5" s="9" t="s">
        <v>241</v>
      </c>
      <c r="C5" s="13">
        <v>18189</v>
      </c>
      <c r="D5" s="13">
        <v>20904</v>
      </c>
      <c r="E5" s="13">
        <v>27513</v>
      </c>
      <c r="F5" s="13">
        <v>28815</v>
      </c>
      <c r="G5" s="13">
        <v>32000</v>
      </c>
      <c r="H5" s="13">
        <v>37023</v>
      </c>
      <c r="I5" s="13">
        <v>43281</v>
      </c>
      <c r="J5" s="13">
        <v>49620</v>
      </c>
      <c r="K5" s="13">
        <v>56882</v>
      </c>
      <c r="L5" s="13">
        <v>64005</v>
      </c>
    </row>
    <row r="6" spans="2:12" x14ac:dyDescent="0.2">
      <c r="B6" s="18" t="s">
        <v>119</v>
      </c>
      <c r="C6" s="16" t="s">
        <v>242</v>
      </c>
      <c r="D6" s="17">
        <f>IFERROR(D5/C5-1,"NM ")</f>
        <v>0.14926603991423382</v>
      </c>
      <c r="E6" s="17">
        <f>IFERROR(E5/D5-1,"NM ")</f>
        <v>0.31615958668197464</v>
      </c>
      <c r="F6" s="16" t="s">
        <v>242</v>
      </c>
      <c r="G6" s="17">
        <f>IFERROR(G5/E5-1,"NM ")</f>
        <v>0.16308654090793451</v>
      </c>
      <c r="H6" s="17">
        <f>IFERROR(H5/G5-1,"NM ")</f>
        <v>0.1569687500000001</v>
      </c>
      <c r="I6" s="17">
        <f t="shared" ref="I6:L6" si="0">IFERROR(I5/H5-1,"NM ")</f>
        <v>0.16903006239364715</v>
      </c>
      <c r="J6" s="17">
        <f t="shared" si="0"/>
        <v>0.14646149580647405</v>
      </c>
      <c r="K6" s="17">
        <f t="shared" si="0"/>
        <v>0.14635227730753719</v>
      </c>
      <c r="L6" s="17">
        <f t="shared" si="0"/>
        <v>0.12522414823670047</v>
      </c>
    </row>
    <row r="7" spans="2:12" ht="5" customHeight="1" x14ac:dyDescent="0.2">
      <c r="C7" s="6"/>
      <c r="D7" s="6"/>
      <c r="E7" s="6"/>
      <c r="F7" s="6"/>
      <c r="G7" s="6"/>
      <c r="H7" s="6"/>
      <c r="I7" s="6"/>
      <c r="J7" s="6"/>
      <c r="K7" s="6"/>
      <c r="L7" s="6"/>
    </row>
    <row r="8" spans="2:12" x14ac:dyDescent="0.2">
      <c r="B8" t="s">
        <v>120</v>
      </c>
      <c r="C8" s="7">
        <v>1994</v>
      </c>
      <c r="D8" s="7">
        <v>2834</v>
      </c>
      <c r="E8" s="7">
        <v>3917</v>
      </c>
      <c r="F8" s="7">
        <v>4301</v>
      </c>
      <c r="G8" s="7">
        <v>4661</v>
      </c>
      <c r="H8" s="7">
        <v>5382</v>
      </c>
      <c r="I8" s="7">
        <v>6314</v>
      </c>
      <c r="J8" s="7">
        <v>7215</v>
      </c>
      <c r="K8" s="7">
        <v>8260</v>
      </c>
      <c r="L8" s="7">
        <v>9264</v>
      </c>
    </row>
    <row r="9" spans="2:12" x14ac:dyDescent="0.2">
      <c r="B9" s="9" t="s">
        <v>121</v>
      </c>
      <c r="C9" s="10">
        <f>C5-C8</f>
        <v>16195</v>
      </c>
      <c r="D9" s="10">
        <f t="shared" ref="D9:L9" si="1">D5-D8</f>
        <v>18070</v>
      </c>
      <c r="E9" s="10">
        <f t="shared" si="1"/>
        <v>23596</v>
      </c>
      <c r="F9" s="10">
        <f t="shared" si="1"/>
        <v>24514</v>
      </c>
      <c r="G9" s="10">
        <f t="shared" si="1"/>
        <v>27339</v>
      </c>
      <c r="H9" s="10">
        <f t="shared" si="1"/>
        <v>31641</v>
      </c>
      <c r="I9" s="10">
        <f t="shared" si="1"/>
        <v>36967</v>
      </c>
      <c r="J9" s="10">
        <f t="shared" si="1"/>
        <v>42405</v>
      </c>
      <c r="K9" s="10">
        <f t="shared" si="1"/>
        <v>48622</v>
      </c>
      <c r="L9" s="10">
        <f t="shared" si="1"/>
        <v>54741</v>
      </c>
    </row>
    <row r="10" spans="2:12" x14ac:dyDescent="0.2">
      <c r="B10" s="18" t="s">
        <v>243</v>
      </c>
      <c r="C10" s="17">
        <f>IFERROR(C9/C$5,"NM ")</f>
        <v>0.89037330254549452</v>
      </c>
      <c r="D10" s="17">
        <f t="shared" ref="D10:L10" si="2">IFERROR(D9/D$5,"NM ")</f>
        <v>0.86442786069651745</v>
      </c>
      <c r="E10" s="17">
        <f t="shared" si="2"/>
        <v>0.8576309381019882</v>
      </c>
      <c r="F10" s="17">
        <f t="shared" si="2"/>
        <v>0.85073746312684362</v>
      </c>
      <c r="G10" s="17">
        <f t="shared" si="2"/>
        <v>0.85434374999999996</v>
      </c>
      <c r="H10" s="17">
        <f t="shared" si="2"/>
        <v>0.85463090511303785</v>
      </c>
      <c r="I10" s="17">
        <f t="shared" si="2"/>
        <v>0.85411612485848298</v>
      </c>
      <c r="J10" s="17">
        <f t="shared" si="2"/>
        <v>0.85459492140266025</v>
      </c>
      <c r="K10" s="17">
        <f t="shared" si="2"/>
        <v>0.85478710312576911</v>
      </c>
      <c r="L10" s="17">
        <f t="shared" si="2"/>
        <v>0.85526130771033515</v>
      </c>
    </row>
    <row r="11" spans="2:12" ht="5" customHeight="1" x14ac:dyDescent="0.2"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2:12" x14ac:dyDescent="0.2">
      <c r="B12" t="s">
        <v>123</v>
      </c>
      <c r="C12" s="7">
        <v>5429</v>
      </c>
      <c r="D12" s="7">
        <v>6555</v>
      </c>
      <c r="E12" s="7">
        <v>8661</v>
      </c>
      <c r="F12" s="7">
        <v>9009</v>
      </c>
      <c r="G12" s="7">
        <v>10097</v>
      </c>
      <c r="H12" s="7">
        <v>11680</v>
      </c>
      <c r="I12" s="7">
        <v>13721</v>
      </c>
      <c r="J12" s="7">
        <v>15833</v>
      </c>
      <c r="K12" s="7">
        <v>18275</v>
      </c>
      <c r="L12" s="7">
        <v>20664</v>
      </c>
    </row>
    <row r="13" spans="2:12" x14ac:dyDescent="0.2">
      <c r="B13" s="9" t="s">
        <v>124</v>
      </c>
      <c r="C13" s="10">
        <f>C9-C12</f>
        <v>10766</v>
      </c>
      <c r="D13" s="10">
        <f t="shared" ref="D13" si="3">D9-D12</f>
        <v>11515</v>
      </c>
      <c r="E13" s="10">
        <f t="shared" ref="E13" si="4">E9-E12</f>
        <v>14935</v>
      </c>
      <c r="F13" s="10">
        <f t="shared" ref="F13" si="5">F9-F12</f>
        <v>15505</v>
      </c>
      <c r="G13" s="10">
        <f t="shared" ref="G13" si="6">G9-G12</f>
        <v>17242</v>
      </c>
      <c r="H13" s="10">
        <f t="shared" ref="H13" si="7">H9-H12</f>
        <v>19961</v>
      </c>
      <c r="I13" s="10">
        <f t="shared" ref="I13" si="8">I9-I12</f>
        <v>23246</v>
      </c>
      <c r="J13" s="10">
        <f t="shared" ref="J13" si="9">J9-J12</f>
        <v>26572</v>
      </c>
      <c r="K13" s="10">
        <f t="shared" ref="K13" si="10">K9-K12</f>
        <v>30347</v>
      </c>
      <c r="L13" s="10">
        <f t="shared" ref="L13" si="11">L9-L12</f>
        <v>34077</v>
      </c>
    </row>
    <row r="14" spans="2:12" x14ac:dyDescent="0.2">
      <c r="B14" s="18" t="s">
        <v>243</v>
      </c>
      <c r="C14" s="17">
        <f>IFERROR(C13/C$5,"NM ")</f>
        <v>0.5918962010006048</v>
      </c>
      <c r="D14" s="17">
        <f t="shared" ref="D14" si="12">IFERROR(D13/D$5,"NM ")</f>
        <v>0.5508515116724072</v>
      </c>
      <c r="E14" s="17">
        <f t="shared" ref="E14" si="13">IFERROR(E13/E$5,"NM ")</f>
        <v>0.54283429651437498</v>
      </c>
      <c r="F14" s="17">
        <f t="shared" ref="F14" si="14">IFERROR(F13/F$5,"NM ")</f>
        <v>0.53808780149227831</v>
      </c>
      <c r="G14" s="17">
        <f t="shared" ref="G14" si="15">IFERROR(G13/G$5,"NM ")</f>
        <v>0.53881250000000003</v>
      </c>
      <c r="H14" s="17">
        <f t="shared" ref="H14" si="16">IFERROR(H13/H$5,"NM ")</f>
        <v>0.53915133835723739</v>
      </c>
      <c r="I14" s="17">
        <f t="shared" ref="I14" si="17">IFERROR(I13/I$5,"NM ")</f>
        <v>0.53709479910353275</v>
      </c>
      <c r="J14" s="17">
        <f t="shared" ref="J14" si="18">IFERROR(J13/J$5,"NM ")</f>
        <v>0.53550987505038294</v>
      </c>
      <c r="K14" s="17">
        <f t="shared" ref="K14" si="19">IFERROR(K13/K$5,"NM ")</f>
        <v>0.5335079638549981</v>
      </c>
      <c r="L14" s="17">
        <f t="shared" ref="L14" si="20">IFERROR(L13/L$5,"NM ")</f>
        <v>0.53241153034919142</v>
      </c>
    </row>
    <row r="15" spans="2:12" ht="5" customHeight="1" x14ac:dyDescent="0.2"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2:12" x14ac:dyDescent="0.2">
      <c r="B16" t="s">
        <v>126</v>
      </c>
      <c r="C16" s="7">
        <v>8166</v>
      </c>
      <c r="D16" s="7">
        <v>7573</v>
      </c>
      <c r="E16" s="7">
        <v>9611</v>
      </c>
      <c r="F16" s="7">
        <v>10080</v>
      </c>
      <c r="G16" s="7">
        <v>11536</v>
      </c>
      <c r="H16" s="7">
        <v>13063</v>
      </c>
      <c r="I16" s="7">
        <v>14616</v>
      </c>
      <c r="J16" s="7">
        <v>16233</v>
      </c>
      <c r="K16" s="7">
        <v>18053</v>
      </c>
      <c r="L16" s="7">
        <v>19913</v>
      </c>
    </row>
    <row r="17" spans="2:12" x14ac:dyDescent="0.2">
      <c r="B17" s="18" t="s">
        <v>244</v>
      </c>
      <c r="C17" s="17">
        <f>IFERROR(C16/C$5,"NM ")</f>
        <v>0.44895266369783937</v>
      </c>
      <c r="D17" s="17">
        <f t="shared" ref="D17" si="21">IFERROR(D16/D$5,"NM ")</f>
        <v>0.36227516264829696</v>
      </c>
      <c r="E17" s="17">
        <f t="shared" ref="E17" si="22">IFERROR(E16/E$5,"NM ")</f>
        <v>0.34932577327081743</v>
      </c>
      <c r="F17" s="17">
        <f t="shared" ref="F17" si="23">IFERROR(F16/F$5,"NM ")</f>
        <v>0.34981780322748568</v>
      </c>
      <c r="G17" s="17">
        <f t="shared" ref="G17" si="24">IFERROR(G16/G$5,"NM ")</f>
        <v>0.36049999999999999</v>
      </c>
      <c r="H17" s="17">
        <f t="shared" ref="H17" si="25">IFERROR(H16/H$5,"NM ")</f>
        <v>0.35283472436053265</v>
      </c>
      <c r="I17" s="17">
        <f t="shared" ref="I17" si="26">IFERROR(I16/I$5,"NM ")</f>
        <v>0.33770014556040756</v>
      </c>
      <c r="J17" s="17">
        <f t="shared" ref="J17" si="27">IFERROR(J16/J$5,"NM ")</f>
        <v>0.32714631197097943</v>
      </c>
      <c r="K17" s="17">
        <f t="shared" ref="K17" si="28">IFERROR(K16/K$5,"NM ")</f>
        <v>0.31737632291410289</v>
      </c>
      <c r="L17" s="17">
        <f t="shared" ref="L17" si="29">IFERROR(L16/L$5,"NM ")</f>
        <v>0.3111163190375752</v>
      </c>
    </row>
    <row r="18" spans="2:12" ht="5" customHeight="1" x14ac:dyDescent="0.2"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2:12" x14ac:dyDescent="0.2">
      <c r="B19" s="9" t="s">
        <v>245</v>
      </c>
      <c r="C19" s="10">
        <f>C13-C16</f>
        <v>2600</v>
      </c>
      <c r="D19" s="10">
        <f t="shared" ref="D19:L19" si="30">D13-D16</f>
        <v>3942</v>
      </c>
      <c r="E19" s="10">
        <f t="shared" si="30"/>
        <v>5324</v>
      </c>
      <c r="F19" s="10">
        <f t="shared" si="30"/>
        <v>5425</v>
      </c>
      <c r="G19" s="10">
        <f t="shared" si="30"/>
        <v>5706</v>
      </c>
      <c r="H19" s="10">
        <f t="shared" si="30"/>
        <v>6898</v>
      </c>
      <c r="I19" s="10">
        <f t="shared" si="30"/>
        <v>8630</v>
      </c>
      <c r="J19" s="10">
        <f t="shared" si="30"/>
        <v>10339</v>
      </c>
      <c r="K19" s="10">
        <f t="shared" si="30"/>
        <v>12294</v>
      </c>
      <c r="L19" s="10">
        <f t="shared" si="30"/>
        <v>14164</v>
      </c>
    </row>
    <row r="20" spans="2:12" x14ac:dyDescent="0.2">
      <c r="B20" s="18" t="s">
        <v>243</v>
      </c>
      <c r="C20" s="17">
        <f>IFERROR(C19/C$5,"NM ")</f>
        <v>0.14294353730276541</v>
      </c>
      <c r="D20" s="17">
        <f t="shared" ref="D20" si="31">IFERROR(D19/D$5,"NM ")</f>
        <v>0.18857634902411022</v>
      </c>
      <c r="E20" s="17">
        <f t="shared" ref="E20" si="32">IFERROR(E19/E$5,"NM ")</f>
        <v>0.19350852324355758</v>
      </c>
      <c r="F20" s="17">
        <f t="shared" ref="F20" si="33">IFERROR(F19/F$5,"NM ")</f>
        <v>0.18826999826479265</v>
      </c>
      <c r="G20" s="17">
        <f t="shared" ref="G20" si="34">IFERROR(G19/G$5,"NM ")</f>
        <v>0.17831250000000001</v>
      </c>
      <c r="H20" s="17">
        <f t="shared" ref="H20" si="35">IFERROR(H19/H$5,"NM ")</f>
        <v>0.18631661399670474</v>
      </c>
      <c r="I20" s="17">
        <f t="shared" ref="I20" si="36">IFERROR(I19/I$5,"NM ")</f>
        <v>0.19939465354312516</v>
      </c>
      <c r="J20" s="17">
        <f t="shared" ref="J20" si="37">IFERROR(J19/J$5,"NM ")</f>
        <v>0.20836356307940346</v>
      </c>
      <c r="K20" s="17">
        <f t="shared" ref="K20" si="38">IFERROR(K19/K$5,"NM ")</f>
        <v>0.21613164094089518</v>
      </c>
      <c r="L20" s="17">
        <f t="shared" ref="L20" si="39">IFERROR(L19/L$5,"NM ")</f>
        <v>0.22129521131161628</v>
      </c>
    </row>
    <row r="21" spans="2:12" ht="10.25" customHeight="1" x14ac:dyDescent="0.2">
      <c r="C21" s="6"/>
      <c r="D21" s="6"/>
      <c r="E21" s="6"/>
      <c r="F21" s="6"/>
      <c r="G21" s="6"/>
      <c r="H21" s="6"/>
      <c r="I21" s="6"/>
      <c r="J21" s="6"/>
      <c r="K21" s="6"/>
      <c r="L2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L26"/>
  <sheetViews>
    <sheetView showGridLines="0" workbookViewId="0"/>
  </sheetViews>
  <sheetFormatPr baseColWidth="10" defaultColWidth="8.83203125" defaultRowHeight="15" x14ac:dyDescent="0.2"/>
  <cols>
    <col min="1" max="1" width="1.5" customWidth="1"/>
    <col min="2" max="2" width="34.6640625" bestFit="1" customWidth="1"/>
    <col min="3" max="12" width="13.1640625" customWidth="1"/>
    <col min="13" max="13" width="1.5" customWidth="1"/>
  </cols>
  <sheetData>
    <row r="1" spans="2:12" ht="10.25" customHeight="1" x14ac:dyDescent="0.2"/>
    <row r="2" spans="2:12" ht="18" x14ac:dyDescent="0.35">
      <c r="B2" s="5" t="s">
        <v>246</v>
      </c>
      <c r="C2" s="2" t="s">
        <v>114</v>
      </c>
      <c r="D2" s="2"/>
      <c r="E2" s="2"/>
      <c r="F2" s="2"/>
      <c r="G2" s="6"/>
      <c r="H2" s="6"/>
      <c r="I2" s="6"/>
      <c r="J2" s="6"/>
      <c r="K2" s="6"/>
      <c r="L2" s="6"/>
    </row>
    <row r="3" spans="2:12" ht="18" x14ac:dyDescent="0.35">
      <c r="B3" s="4" t="s">
        <v>79</v>
      </c>
      <c r="C3" s="3">
        <v>2015</v>
      </c>
      <c r="D3" s="3">
        <v>2016</v>
      </c>
      <c r="E3" s="3">
        <v>2017</v>
      </c>
      <c r="F3" s="3" t="s">
        <v>240</v>
      </c>
      <c r="G3" s="6"/>
      <c r="H3" s="6"/>
      <c r="I3" s="6"/>
      <c r="J3" s="6"/>
      <c r="K3" s="6"/>
      <c r="L3" s="6"/>
    </row>
    <row r="4" spans="2:12" ht="5" customHeight="1" x14ac:dyDescent="0.35">
      <c r="B4" s="18"/>
      <c r="C4" s="20"/>
      <c r="D4" s="20"/>
      <c r="E4" s="20"/>
      <c r="F4" s="20"/>
      <c r="G4" s="6"/>
      <c r="H4" s="6"/>
      <c r="I4" s="6"/>
      <c r="J4" s="6"/>
      <c r="K4" s="6"/>
      <c r="L4" s="6"/>
    </row>
    <row r="5" spans="2:12" x14ac:dyDescent="0.2">
      <c r="B5" s="9" t="s">
        <v>247</v>
      </c>
      <c r="C5" s="13">
        <v>2882</v>
      </c>
      <c r="D5" s="13">
        <v>3739</v>
      </c>
      <c r="E5" s="13">
        <v>4170</v>
      </c>
      <c r="F5" s="13">
        <v>4382</v>
      </c>
      <c r="G5" s="6"/>
      <c r="H5" s="6"/>
      <c r="I5" s="6"/>
      <c r="J5" s="6"/>
      <c r="K5" s="6"/>
      <c r="L5" s="6"/>
    </row>
    <row r="6" spans="2:12" x14ac:dyDescent="0.2">
      <c r="B6" s="9" t="s">
        <v>243</v>
      </c>
      <c r="C6" s="28">
        <f>IFERROR(C5/'Income Statement'!C$5,"NM ")</f>
        <v>0.15844741327175765</v>
      </c>
      <c r="D6" s="28">
        <f>IFERROR(D5/'Income Statement'!D$5,"NM ")</f>
        <v>0.1788652889399158</v>
      </c>
      <c r="E6" s="28">
        <f>IFERROR(E5/'Income Statement'!E$5,"NM ")</f>
        <v>0.15156471486206521</v>
      </c>
      <c r="F6" s="28">
        <f>IFERROR(F5/'Income Statement'!F$5,"NM ")</f>
        <v>0.15207357279194864</v>
      </c>
      <c r="G6" s="6"/>
      <c r="H6" s="6"/>
      <c r="I6" s="6"/>
      <c r="J6" s="6"/>
      <c r="K6" s="6"/>
      <c r="L6" s="6"/>
    </row>
    <row r="7" spans="2:12" ht="5" customHeight="1" x14ac:dyDescent="0.2">
      <c r="C7" s="6"/>
      <c r="D7" s="6"/>
      <c r="E7" s="6"/>
      <c r="F7" s="6"/>
      <c r="G7" s="6"/>
      <c r="H7" s="6"/>
      <c r="I7" s="6"/>
      <c r="J7" s="6"/>
      <c r="K7" s="6"/>
      <c r="L7" s="6"/>
    </row>
    <row r="8" spans="2:12" x14ac:dyDescent="0.2">
      <c r="B8" t="s">
        <v>248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2:12" x14ac:dyDescent="0.2">
      <c r="B9" t="s">
        <v>249</v>
      </c>
      <c r="C9" s="7">
        <v>0</v>
      </c>
      <c r="D9" s="7">
        <v>326</v>
      </c>
      <c r="E9" s="7">
        <v>486</v>
      </c>
      <c r="F9" s="7">
        <v>486</v>
      </c>
      <c r="G9" s="6"/>
      <c r="H9" s="6"/>
      <c r="I9" s="6"/>
      <c r="J9" s="6"/>
      <c r="K9" s="6"/>
      <c r="L9" s="6"/>
    </row>
    <row r="10" spans="2:12" x14ac:dyDescent="0.2">
      <c r="B10" t="s">
        <v>250</v>
      </c>
      <c r="C10" s="7">
        <v>0</v>
      </c>
      <c r="D10" s="7">
        <v>55</v>
      </c>
      <c r="E10" s="7">
        <v>460</v>
      </c>
      <c r="F10" s="7">
        <v>238</v>
      </c>
      <c r="G10" s="6"/>
      <c r="H10" s="6"/>
      <c r="I10" s="6"/>
      <c r="J10" s="6"/>
      <c r="K10" s="6"/>
      <c r="L10" s="6"/>
    </row>
    <row r="11" spans="2:12" x14ac:dyDescent="0.2">
      <c r="B11" t="s">
        <v>251</v>
      </c>
      <c r="C11" s="7">
        <v>-227</v>
      </c>
      <c r="D11" s="7">
        <v>-2</v>
      </c>
      <c r="E11" s="7">
        <v>-270</v>
      </c>
      <c r="F11" s="7">
        <v>-170</v>
      </c>
      <c r="G11" s="6"/>
      <c r="H11" s="6"/>
      <c r="I11" s="6"/>
      <c r="J11" s="6"/>
      <c r="K11" s="6"/>
      <c r="L11" s="6"/>
    </row>
    <row r="12" spans="2:12" x14ac:dyDescent="0.2">
      <c r="B12" t="s">
        <v>252</v>
      </c>
      <c r="C12" s="7">
        <v>0</v>
      </c>
      <c r="D12" s="7">
        <v>0</v>
      </c>
      <c r="E12" s="7">
        <v>203</v>
      </c>
      <c r="F12" s="7">
        <v>203</v>
      </c>
      <c r="G12" s="6"/>
      <c r="H12" s="6"/>
      <c r="I12" s="6"/>
      <c r="J12" s="6"/>
      <c r="K12" s="6"/>
      <c r="L12" s="6"/>
    </row>
    <row r="13" spans="2:12" x14ac:dyDescent="0.2">
      <c r="B13" t="s">
        <v>253</v>
      </c>
      <c r="C13" s="7">
        <v>82</v>
      </c>
      <c r="D13" s="7">
        <v>100</v>
      </c>
      <c r="E13" s="7">
        <v>100</v>
      </c>
      <c r="F13" s="7">
        <v>93</v>
      </c>
      <c r="G13" s="6"/>
      <c r="H13" s="6"/>
      <c r="I13" s="6"/>
      <c r="J13" s="6"/>
      <c r="K13" s="6"/>
      <c r="L13" s="6"/>
    </row>
    <row r="14" spans="2:12" x14ac:dyDescent="0.2">
      <c r="B14" t="s">
        <v>254</v>
      </c>
      <c r="C14" s="7">
        <v>0</v>
      </c>
      <c r="D14" s="7">
        <v>0</v>
      </c>
      <c r="E14" s="7">
        <v>96</v>
      </c>
      <c r="F14" s="7">
        <v>72</v>
      </c>
      <c r="G14" s="6"/>
      <c r="H14" s="6"/>
      <c r="I14" s="6"/>
      <c r="J14" s="6"/>
      <c r="K14" s="6"/>
      <c r="L14" s="6"/>
    </row>
    <row r="15" spans="2:12" x14ac:dyDescent="0.2">
      <c r="B15" t="s">
        <v>255</v>
      </c>
      <c r="C15" s="7">
        <v>0</v>
      </c>
      <c r="D15" s="7">
        <v>0</v>
      </c>
      <c r="E15" s="7">
        <v>67</v>
      </c>
      <c r="F15" s="7">
        <v>67</v>
      </c>
      <c r="G15" s="6"/>
      <c r="H15" s="6"/>
      <c r="I15" s="6"/>
      <c r="J15" s="6"/>
      <c r="K15" s="6"/>
      <c r="L15" s="6"/>
    </row>
    <row r="16" spans="2:12" x14ac:dyDescent="0.2">
      <c r="B16" t="s">
        <v>256</v>
      </c>
      <c r="C16" s="7">
        <v>-113</v>
      </c>
      <c r="D16" s="7">
        <v>-86</v>
      </c>
      <c r="E16" s="7">
        <v>-7</v>
      </c>
      <c r="F16" s="7">
        <v>12</v>
      </c>
      <c r="G16" s="6"/>
      <c r="H16" s="6"/>
      <c r="I16" s="6"/>
      <c r="J16" s="6"/>
      <c r="K16" s="6"/>
      <c r="L16" s="6"/>
    </row>
    <row r="17" spans="2:12" x14ac:dyDescent="0.2">
      <c r="B17" t="s">
        <v>257</v>
      </c>
      <c r="C17" s="7">
        <v>24</v>
      </c>
      <c r="D17" s="7">
        <v>2</v>
      </c>
      <c r="E17" s="7">
        <v>21</v>
      </c>
      <c r="F17" s="7">
        <v>26</v>
      </c>
      <c r="G17" s="6"/>
      <c r="H17" s="6"/>
      <c r="I17" s="6"/>
      <c r="J17" s="6"/>
      <c r="K17" s="6"/>
      <c r="L17" s="6"/>
    </row>
    <row r="18" spans="2:12" x14ac:dyDescent="0.2">
      <c r="B18" t="s">
        <v>258</v>
      </c>
      <c r="C18" s="7">
        <v>4</v>
      </c>
      <c r="D18" s="7">
        <v>4</v>
      </c>
      <c r="E18" s="7">
        <v>21</v>
      </c>
      <c r="F18" s="7">
        <v>6</v>
      </c>
      <c r="G18" s="6"/>
      <c r="H18" s="6"/>
      <c r="I18" s="6"/>
      <c r="J18" s="6"/>
      <c r="K18" s="6"/>
      <c r="L18" s="6"/>
    </row>
    <row r="19" spans="2:12" x14ac:dyDescent="0.2">
      <c r="B19" t="s">
        <v>259</v>
      </c>
      <c r="C19" s="7">
        <v>-48</v>
      </c>
      <c r="D19" s="7">
        <v>-4</v>
      </c>
      <c r="E19" s="7">
        <v>-19</v>
      </c>
      <c r="F19" s="7">
        <v>4</v>
      </c>
      <c r="G19" s="6"/>
      <c r="H19" s="6"/>
      <c r="I19" s="6"/>
      <c r="J19" s="6"/>
      <c r="K19" s="6"/>
      <c r="L19" s="6"/>
    </row>
    <row r="20" spans="2:12" x14ac:dyDescent="0.2">
      <c r="B20" t="s">
        <v>260</v>
      </c>
      <c r="C20" s="7">
        <v>-3</v>
      </c>
      <c r="D20" s="7">
        <v>-17</v>
      </c>
      <c r="E20" s="7">
        <v>-4</v>
      </c>
      <c r="F20" s="7">
        <v>7</v>
      </c>
      <c r="G20" s="6"/>
      <c r="H20" s="6"/>
      <c r="I20" s="6"/>
      <c r="J20" s="6"/>
      <c r="K20" s="6"/>
      <c r="L20" s="6"/>
    </row>
    <row r="21" spans="2:12" x14ac:dyDescent="0.2">
      <c r="B21" t="s">
        <v>261</v>
      </c>
      <c r="C21" s="7">
        <v>0</v>
      </c>
      <c r="D21" s="7">
        <v>-175</v>
      </c>
      <c r="E21" s="7">
        <v>0</v>
      </c>
      <c r="F21" s="7">
        <v>0</v>
      </c>
      <c r="G21" s="6"/>
      <c r="H21" s="6"/>
      <c r="I21" s="6"/>
      <c r="J21" s="6"/>
      <c r="K21" s="6"/>
      <c r="L21" s="6"/>
    </row>
    <row r="22" spans="2:12" x14ac:dyDescent="0.2">
      <c r="B22" t="s">
        <v>262</v>
      </c>
      <c r="C22" s="8">
        <f>SUM(C9:C21)</f>
        <v>-281</v>
      </c>
      <c r="D22" s="8">
        <f t="shared" ref="D22:F22" si="0">SUM(D9:D21)</f>
        <v>203</v>
      </c>
      <c r="E22" s="8">
        <f t="shared" si="0"/>
        <v>1154</v>
      </c>
      <c r="F22" s="8">
        <f t="shared" si="0"/>
        <v>1044</v>
      </c>
      <c r="G22" s="6"/>
      <c r="H22" s="6"/>
      <c r="I22" s="6"/>
      <c r="J22" s="6"/>
      <c r="K22" s="6"/>
      <c r="L22" s="6"/>
    </row>
    <row r="23" spans="2:12" ht="5" customHeight="1" x14ac:dyDescent="0.2"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2:12" x14ac:dyDescent="0.2">
      <c r="B24" s="9" t="s">
        <v>245</v>
      </c>
      <c r="C24" s="10">
        <f>SUM(C5,C22)</f>
        <v>2601</v>
      </c>
      <c r="D24" s="10">
        <f t="shared" ref="D24:F24" si="1">SUM(D5,D22)</f>
        <v>3942</v>
      </c>
      <c r="E24" s="10">
        <f t="shared" si="1"/>
        <v>5324</v>
      </c>
      <c r="F24" s="10">
        <f t="shared" si="1"/>
        <v>5426</v>
      </c>
      <c r="G24" s="6"/>
      <c r="H24" s="6"/>
      <c r="I24" s="6"/>
      <c r="J24" s="6"/>
      <c r="K24" s="6"/>
      <c r="L24" s="6"/>
    </row>
    <row r="25" spans="2:12" x14ac:dyDescent="0.2">
      <c r="B25" s="9" t="s">
        <v>243</v>
      </c>
      <c r="C25" s="28">
        <f>IFERROR(C24/'Income Statement'!C$5,"NM ")</f>
        <v>0.14299851558634338</v>
      </c>
      <c r="D25" s="28">
        <f>IFERROR(D24/'Income Statement'!D$5,"NM ")</f>
        <v>0.18857634902411022</v>
      </c>
      <c r="E25" s="28">
        <f>IFERROR(E24/'Income Statement'!E$5,"NM ")</f>
        <v>0.19350852324355758</v>
      </c>
      <c r="F25" s="28">
        <f>IFERROR(F24/'Income Statement'!F$5,"NM ")</f>
        <v>0.18830470241193822</v>
      </c>
      <c r="G25" s="6"/>
      <c r="H25" s="6"/>
      <c r="I25" s="6"/>
      <c r="J25" s="6"/>
      <c r="K25" s="6"/>
      <c r="L25" s="6"/>
    </row>
    <row r="26" spans="2:12" ht="10.25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47"/>
  <sheetViews>
    <sheetView showGridLines="0" workbookViewId="0"/>
  </sheetViews>
  <sheetFormatPr baseColWidth="10" defaultColWidth="8.83203125" defaultRowHeight="15" x14ac:dyDescent="0.2"/>
  <cols>
    <col min="1" max="1" width="1.5" customWidth="1"/>
    <col min="2" max="2" width="15.5" bestFit="1" customWidth="1"/>
    <col min="3" max="3" width="28.33203125" bestFit="1" customWidth="1"/>
    <col min="4" max="12" width="6.5" customWidth="1"/>
    <col min="13" max="13" width="1.5" customWidth="1"/>
    <col min="14" max="14" width="6.5" customWidth="1"/>
    <col min="15" max="15" width="1.5" customWidth="1"/>
    <col min="16" max="24" width="6.5" customWidth="1"/>
    <col min="25" max="25" width="1.5" customWidth="1"/>
  </cols>
  <sheetData>
    <row r="1" spans="2:24" ht="10.25" customHeight="1" x14ac:dyDescent="0.2"/>
    <row r="2" spans="2:24" ht="18" x14ac:dyDescent="0.35">
      <c r="B2" s="22" t="s">
        <v>263</v>
      </c>
      <c r="C2" s="1"/>
      <c r="D2" s="2" t="s">
        <v>114</v>
      </c>
      <c r="E2" s="2"/>
      <c r="F2" s="34"/>
      <c r="G2" s="41" t="s">
        <v>77</v>
      </c>
      <c r="H2" s="2" t="s">
        <v>78</v>
      </c>
      <c r="I2" s="2"/>
      <c r="J2" s="2"/>
      <c r="K2" s="2"/>
      <c r="L2" s="2"/>
      <c r="N2" s="27" t="s">
        <v>264</v>
      </c>
      <c r="P2" s="2" t="s">
        <v>114</v>
      </c>
      <c r="Q2" s="2"/>
      <c r="R2" s="34"/>
      <c r="S2" s="41" t="s">
        <v>77</v>
      </c>
      <c r="T2" s="2" t="s">
        <v>78</v>
      </c>
      <c r="U2" s="2"/>
      <c r="V2" s="2"/>
      <c r="W2" s="2"/>
      <c r="X2" s="2"/>
    </row>
    <row r="3" spans="2:24" ht="18" x14ac:dyDescent="0.35">
      <c r="B3" s="2" t="s">
        <v>265</v>
      </c>
      <c r="C3" s="2" t="s">
        <v>266</v>
      </c>
      <c r="D3" s="3">
        <v>2015</v>
      </c>
      <c r="E3" s="3">
        <v>2016</v>
      </c>
      <c r="F3" s="35">
        <v>2017</v>
      </c>
      <c r="G3" s="42">
        <v>2018</v>
      </c>
      <c r="H3" s="3">
        <v>2019</v>
      </c>
      <c r="I3" s="3">
        <v>2020</v>
      </c>
      <c r="J3" s="3">
        <v>2021</v>
      </c>
      <c r="K3" s="3">
        <v>2022</v>
      </c>
      <c r="L3" s="3">
        <v>2023</v>
      </c>
      <c r="N3" s="3" t="s">
        <v>267</v>
      </c>
      <c r="P3" s="3">
        <v>2015</v>
      </c>
      <c r="Q3" s="3">
        <v>2016</v>
      </c>
      <c r="R3" s="35">
        <v>2017</v>
      </c>
      <c r="S3" s="42">
        <v>2018</v>
      </c>
      <c r="T3" s="3">
        <v>2019</v>
      </c>
      <c r="U3" s="3">
        <v>2020</v>
      </c>
      <c r="V3" s="3">
        <v>2021</v>
      </c>
      <c r="W3" s="3">
        <v>2022</v>
      </c>
      <c r="X3" s="3">
        <v>2023</v>
      </c>
    </row>
    <row r="4" spans="2:24" ht="5" customHeight="1" x14ac:dyDescent="0.35">
      <c r="B4" s="21"/>
      <c r="C4" s="21"/>
      <c r="D4" s="20"/>
      <c r="E4" s="20"/>
      <c r="F4" s="36"/>
      <c r="G4" s="43"/>
      <c r="H4" s="20"/>
      <c r="I4" s="20"/>
      <c r="J4" s="20"/>
      <c r="K4" s="20"/>
      <c r="L4" s="20"/>
      <c r="R4" s="48"/>
      <c r="S4" s="51"/>
    </row>
    <row r="5" spans="2:24" x14ac:dyDescent="0.2">
      <c r="B5" s="9" t="s">
        <v>268</v>
      </c>
      <c r="C5" t="s">
        <v>269</v>
      </c>
      <c r="D5" s="23">
        <v>1.6</v>
      </c>
      <c r="E5" s="23">
        <v>3.3</v>
      </c>
      <c r="F5" s="37">
        <v>4.9000000000000004</v>
      </c>
      <c r="G5" s="44">
        <v>5.8</v>
      </c>
      <c r="H5" s="23">
        <v>6.3</v>
      </c>
      <c r="I5" s="23">
        <v>7</v>
      </c>
      <c r="J5" s="23">
        <v>7.7</v>
      </c>
      <c r="K5" s="23">
        <v>8.4</v>
      </c>
      <c r="L5" s="23">
        <v>9.3000000000000007</v>
      </c>
      <c r="N5" s="29">
        <f>RATE(6,,-F5,L5)</f>
        <v>0.11270783157276235</v>
      </c>
      <c r="P5" s="29">
        <f>IFERROR(D5/D$46,"NM ")</f>
        <v>8.7965253724778716E-2</v>
      </c>
      <c r="Q5" s="29">
        <f t="shared" ref="Q5:X5" si="0">IFERROR(E5/E$46,"NM ")</f>
        <v>0.15786452353616531</v>
      </c>
      <c r="R5" s="49">
        <f t="shared" si="0"/>
        <v>0.17809762657652747</v>
      </c>
      <c r="S5" s="52">
        <f t="shared" si="0"/>
        <v>0.18124999999999999</v>
      </c>
      <c r="T5" s="29">
        <f t="shared" si="0"/>
        <v>0.17016449234259781</v>
      </c>
      <c r="U5" s="29">
        <f t="shared" si="0"/>
        <v>0.16173378618793466</v>
      </c>
      <c r="V5" s="29">
        <f t="shared" si="0"/>
        <v>0.15517936316001613</v>
      </c>
      <c r="W5" s="29">
        <f t="shared" si="0"/>
        <v>0.14767413241447208</v>
      </c>
      <c r="X5" s="29">
        <f t="shared" si="0"/>
        <v>0.14530114834778535</v>
      </c>
    </row>
    <row r="6" spans="2:24" x14ac:dyDescent="0.2">
      <c r="B6" s="9"/>
      <c r="C6" t="s">
        <v>270</v>
      </c>
      <c r="D6" s="23">
        <v>1</v>
      </c>
      <c r="E6" s="23">
        <v>1.2</v>
      </c>
      <c r="F6" s="37">
        <v>0.8</v>
      </c>
      <c r="G6" s="44">
        <v>1</v>
      </c>
      <c r="H6" s="23">
        <v>1.1000000000000001</v>
      </c>
      <c r="I6" s="23">
        <v>1.3</v>
      </c>
      <c r="J6" s="23">
        <v>1.4</v>
      </c>
      <c r="K6" s="23">
        <v>1.6</v>
      </c>
      <c r="L6" s="23">
        <v>1.8</v>
      </c>
      <c r="N6" s="29">
        <f>RATE(6,,-F6,L6)</f>
        <v>0.14471424255325943</v>
      </c>
      <c r="P6" s="29">
        <f t="shared" ref="P6:P10" si="1">IFERROR(D6/D$46,"NM ")</f>
        <v>5.4978283577986696E-2</v>
      </c>
      <c r="Q6" s="29">
        <f t="shared" ref="Q6:Q10" si="2">IFERROR(E6/E$46,"NM ")</f>
        <v>5.7405281285878296E-2</v>
      </c>
      <c r="R6" s="49">
        <f t="shared" ref="R6:R10" si="3">IFERROR(F6/F$46,"NM ")</f>
        <v>2.907716352269836E-2</v>
      </c>
      <c r="S6" s="52">
        <f t="shared" ref="S6:S10" si="4">IFERROR(G6/G$46,"NM ")</f>
        <v>3.125E-2</v>
      </c>
      <c r="T6" s="29">
        <f t="shared" ref="T6:T10" si="5">IFERROR(H6/H$46,"NM ")</f>
        <v>2.9711260567755179E-2</v>
      </c>
      <c r="U6" s="29">
        <f t="shared" ref="U6:U10" si="6">IFERROR(I6/I$46,"NM ")</f>
        <v>3.0036274577759297E-2</v>
      </c>
      <c r="V6" s="29">
        <f t="shared" ref="V6:V10" si="7">IFERROR(J6/J$46,"NM ")</f>
        <v>2.8214429665457477E-2</v>
      </c>
      <c r="W6" s="29">
        <f t="shared" ref="W6:W10" si="8">IFERROR(K6/K$46,"NM ")</f>
        <v>2.8128406174185158E-2</v>
      </c>
      <c r="X6" s="29">
        <f t="shared" ref="X6:X10" si="9">IFERROR(L6/L$46,"NM ")</f>
        <v>2.8122802906022971E-2</v>
      </c>
    </row>
    <row r="7" spans="2:24" x14ac:dyDescent="0.2">
      <c r="B7" s="9"/>
      <c r="C7" t="s">
        <v>271</v>
      </c>
      <c r="D7" s="23"/>
      <c r="E7" s="23"/>
      <c r="F7" s="37"/>
      <c r="G7" s="44"/>
      <c r="H7" s="23"/>
      <c r="I7" s="23"/>
      <c r="J7" s="23"/>
      <c r="K7" s="23"/>
      <c r="L7" s="23"/>
      <c r="P7" s="29">
        <f t="shared" si="1"/>
        <v>0</v>
      </c>
      <c r="Q7" s="29">
        <f t="shared" si="2"/>
        <v>0</v>
      </c>
      <c r="R7" s="49">
        <f t="shared" si="3"/>
        <v>0</v>
      </c>
      <c r="S7" s="52">
        <f t="shared" si="4"/>
        <v>0</v>
      </c>
      <c r="T7" s="29">
        <f t="shared" si="5"/>
        <v>0</v>
      </c>
      <c r="U7" s="29">
        <f t="shared" si="6"/>
        <v>0</v>
      </c>
      <c r="V7" s="29">
        <f t="shared" si="7"/>
        <v>0</v>
      </c>
      <c r="W7" s="29">
        <f t="shared" si="8"/>
        <v>0</v>
      </c>
      <c r="X7" s="29">
        <f t="shared" si="9"/>
        <v>0</v>
      </c>
    </row>
    <row r="8" spans="2:24" x14ac:dyDescent="0.2">
      <c r="B8" s="9"/>
      <c r="C8" t="s">
        <v>272</v>
      </c>
      <c r="D8" s="23"/>
      <c r="E8" s="23"/>
      <c r="F8" s="37"/>
      <c r="G8" s="44"/>
      <c r="H8" s="23"/>
      <c r="I8" s="23"/>
      <c r="J8" s="23"/>
      <c r="K8" s="23"/>
      <c r="L8" s="23"/>
      <c r="P8" s="29">
        <f t="shared" si="1"/>
        <v>0</v>
      </c>
      <c r="Q8" s="29">
        <f t="shared" si="2"/>
        <v>0</v>
      </c>
      <c r="R8" s="49">
        <f t="shared" si="3"/>
        <v>0</v>
      </c>
      <c r="S8" s="52">
        <f t="shared" si="4"/>
        <v>0</v>
      </c>
      <c r="T8" s="29">
        <f t="shared" si="5"/>
        <v>0</v>
      </c>
      <c r="U8" s="29">
        <f t="shared" si="6"/>
        <v>0</v>
      </c>
      <c r="V8" s="29">
        <f t="shared" si="7"/>
        <v>0</v>
      </c>
      <c r="W8" s="29">
        <f t="shared" si="8"/>
        <v>0</v>
      </c>
      <c r="X8" s="29">
        <f t="shared" si="9"/>
        <v>0</v>
      </c>
    </row>
    <row r="9" spans="2:24" s="18" customFormat="1" x14ac:dyDescent="0.2">
      <c r="B9" s="33"/>
      <c r="C9" s="18" t="s">
        <v>273</v>
      </c>
      <c r="D9" s="25"/>
      <c r="E9" s="25"/>
      <c r="F9" s="38"/>
      <c r="G9" s="45"/>
      <c r="H9" s="25"/>
      <c r="I9" s="25"/>
      <c r="J9" s="25"/>
      <c r="K9" s="25"/>
      <c r="L9" s="25"/>
      <c r="P9" s="29">
        <f t="shared" si="1"/>
        <v>0</v>
      </c>
      <c r="Q9" s="29">
        <f t="shared" si="2"/>
        <v>0</v>
      </c>
      <c r="R9" s="49">
        <f t="shared" si="3"/>
        <v>0</v>
      </c>
      <c r="S9" s="52">
        <f t="shared" si="4"/>
        <v>0</v>
      </c>
      <c r="T9" s="29">
        <f t="shared" si="5"/>
        <v>0</v>
      </c>
      <c r="U9" s="29">
        <f t="shared" si="6"/>
        <v>0</v>
      </c>
      <c r="V9" s="29">
        <f t="shared" si="7"/>
        <v>0</v>
      </c>
      <c r="W9" s="29">
        <f t="shared" si="8"/>
        <v>0</v>
      </c>
      <c r="X9" s="29">
        <f t="shared" si="9"/>
        <v>0</v>
      </c>
    </row>
    <row r="10" spans="2:24" x14ac:dyDescent="0.2">
      <c r="B10" s="9"/>
      <c r="C10" s="9" t="s">
        <v>274</v>
      </c>
      <c r="D10" s="24">
        <f>SUM(D5:D9)</f>
        <v>2.6</v>
      </c>
      <c r="E10" s="24">
        <f t="shared" ref="E10:L10" si="10">SUM(E5:E9)</f>
        <v>4.5</v>
      </c>
      <c r="F10" s="39">
        <f t="shared" si="10"/>
        <v>5.7</v>
      </c>
      <c r="G10" s="46">
        <f t="shared" si="10"/>
        <v>6.8</v>
      </c>
      <c r="H10" s="24">
        <f t="shared" si="10"/>
        <v>7.4</v>
      </c>
      <c r="I10" s="24">
        <f t="shared" si="10"/>
        <v>8.3000000000000007</v>
      </c>
      <c r="J10" s="24">
        <f t="shared" si="10"/>
        <v>9.1</v>
      </c>
      <c r="K10" s="24">
        <f t="shared" si="10"/>
        <v>10</v>
      </c>
      <c r="L10" s="24">
        <f t="shared" si="10"/>
        <v>11.100000000000001</v>
      </c>
      <c r="M10" s="9"/>
      <c r="N10" s="32">
        <f>RATE(6,,-F10,L10)</f>
        <v>0.11748410338957058</v>
      </c>
      <c r="P10" s="32">
        <f t="shared" si="1"/>
        <v>0.14294353730276541</v>
      </c>
      <c r="Q10" s="32">
        <f t="shared" si="2"/>
        <v>0.21526980482204364</v>
      </c>
      <c r="R10" s="50">
        <f t="shared" si="3"/>
        <v>0.20717479009922582</v>
      </c>
      <c r="S10" s="53">
        <f t="shared" si="4"/>
        <v>0.21249999999999999</v>
      </c>
      <c r="T10" s="32">
        <f t="shared" si="5"/>
        <v>0.19987575291035301</v>
      </c>
      <c r="U10" s="32">
        <f t="shared" si="6"/>
        <v>0.19177006076569397</v>
      </c>
      <c r="V10" s="32">
        <f t="shared" si="7"/>
        <v>0.18339379282547361</v>
      </c>
      <c r="W10" s="32">
        <f t="shared" si="8"/>
        <v>0.17580253858865721</v>
      </c>
      <c r="X10" s="32">
        <f t="shared" si="9"/>
        <v>0.17342395125380833</v>
      </c>
    </row>
    <row r="11" spans="2:24" ht="5" customHeight="1" x14ac:dyDescent="0.2">
      <c r="B11" s="9"/>
      <c r="D11" s="23"/>
      <c r="E11" s="23"/>
      <c r="F11" s="37"/>
      <c r="G11" s="44"/>
      <c r="H11" s="23"/>
      <c r="I11" s="23"/>
      <c r="J11" s="23"/>
      <c r="K11" s="23"/>
      <c r="L11" s="23"/>
      <c r="R11" s="48"/>
      <c r="S11" s="51"/>
    </row>
    <row r="12" spans="2:24" x14ac:dyDescent="0.2">
      <c r="B12" s="9" t="s">
        <v>275</v>
      </c>
      <c r="C12" t="s">
        <v>276</v>
      </c>
      <c r="E12" s="23">
        <v>2.5</v>
      </c>
      <c r="F12" s="37">
        <v>4.0999999999999996</v>
      </c>
      <c r="G12" s="44">
        <v>4.3</v>
      </c>
      <c r="H12" s="23">
        <v>4.7</v>
      </c>
      <c r="I12" s="23">
        <v>5.2</v>
      </c>
      <c r="J12" s="23">
        <v>5.7</v>
      </c>
      <c r="K12" s="23">
        <v>6.3</v>
      </c>
      <c r="L12" s="23">
        <v>6.9</v>
      </c>
      <c r="N12" s="29">
        <f>RATE(6,,-F12,L12)</f>
        <v>9.0630249452724382E-2</v>
      </c>
      <c r="P12" s="29">
        <f t="shared" ref="P12" si="11">IFERROR(D12/D$46,"NM ")</f>
        <v>0</v>
      </c>
      <c r="Q12" s="29">
        <f t="shared" ref="Q12" si="12">IFERROR(E12/E$46,"NM ")</f>
        <v>0.11959433601224646</v>
      </c>
      <c r="R12" s="49">
        <f t="shared" ref="R12" si="13">IFERROR(F12/F$46,"NM ")</f>
        <v>0.14902046305382907</v>
      </c>
      <c r="S12" s="52">
        <f t="shared" ref="S12" si="14">IFERROR(G12/G$46,"NM ")</f>
        <v>0.13437499999999999</v>
      </c>
      <c r="T12" s="29">
        <f t="shared" ref="T12" si="15">IFERROR(H12/H$46,"NM ")</f>
        <v>0.12694811333495395</v>
      </c>
      <c r="U12" s="29">
        <f t="shared" ref="U12" si="16">IFERROR(I12/I$46,"NM ")</f>
        <v>0.12014509831103719</v>
      </c>
      <c r="V12" s="29">
        <f t="shared" ref="V12" si="17">IFERROR(J12/J$46,"NM ")</f>
        <v>0.11487303506650545</v>
      </c>
      <c r="W12" s="29">
        <f t="shared" ref="W12" si="18">IFERROR(K12/K$46,"NM ")</f>
        <v>0.11075559931085405</v>
      </c>
      <c r="X12" s="29">
        <f t="shared" ref="X12" si="19">IFERROR(L12/L$46,"NM ")</f>
        <v>0.10780407780642139</v>
      </c>
    </row>
    <row r="13" spans="2:24" x14ac:dyDescent="0.2">
      <c r="B13" s="9"/>
      <c r="C13" t="s">
        <v>277</v>
      </c>
      <c r="D13" s="23">
        <v>1.4</v>
      </c>
      <c r="E13" s="23">
        <v>2</v>
      </c>
      <c r="F13" s="37">
        <v>2.1</v>
      </c>
      <c r="G13" s="44">
        <v>2.5</v>
      </c>
      <c r="H13" s="23">
        <v>2.6</v>
      </c>
      <c r="I13" s="23">
        <v>2.7</v>
      </c>
      <c r="J13" s="23">
        <v>2.8</v>
      </c>
      <c r="K13" s="23">
        <v>3</v>
      </c>
      <c r="L13" s="23">
        <v>3.1</v>
      </c>
      <c r="N13" s="29">
        <f>RATE(6,,-F13,L13)</f>
        <v>6.7063832133365447E-2</v>
      </c>
      <c r="P13" s="29">
        <f t="shared" ref="P13:P19" si="20">IFERROR(D13/D$46,"NM ")</f>
        <v>7.6969597009181365E-2</v>
      </c>
      <c r="Q13" s="29">
        <f t="shared" ref="Q13:Q19" si="21">IFERROR(E13/E$46,"NM ")</f>
        <v>9.5675468809797173E-2</v>
      </c>
      <c r="R13" s="49">
        <f t="shared" ref="R13:R19" si="22">IFERROR(F13/F$46,"NM ")</f>
        <v>7.6327554247083193E-2</v>
      </c>
      <c r="S13" s="52">
        <f t="shared" ref="S13:S19" si="23">IFERROR(G13/G$46,"NM ")</f>
        <v>7.8125E-2</v>
      </c>
      <c r="T13" s="29">
        <f t="shared" ref="T13:T19" si="24">IFERROR(H13/H$46,"NM ")</f>
        <v>7.0226615887421323E-2</v>
      </c>
      <c r="U13" s="29">
        <f t="shared" ref="U13:U19" si="25">IFERROR(I13/I$46,"NM ")</f>
        <v>6.2383031815346233E-2</v>
      </c>
      <c r="V13" s="29">
        <f t="shared" ref="V13:V19" si="26">IFERROR(J13/J$46,"NM ")</f>
        <v>5.6428859330914953E-2</v>
      </c>
      <c r="W13" s="29">
        <f t="shared" ref="W13:W19" si="27">IFERROR(K13/K$46,"NM ")</f>
        <v>5.274076157659717E-2</v>
      </c>
      <c r="X13" s="29">
        <f t="shared" ref="X13:X19" si="28">IFERROR(L13/L$46,"NM ")</f>
        <v>4.8433716115928449E-2</v>
      </c>
    </row>
    <row r="14" spans="2:24" x14ac:dyDescent="0.2">
      <c r="B14" s="9"/>
      <c r="C14" t="s">
        <v>278</v>
      </c>
      <c r="D14" s="23">
        <v>2.7</v>
      </c>
      <c r="E14" s="23">
        <v>2.2999999999999998</v>
      </c>
      <c r="F14" s="37">
        <v>2</v>
      </c>
      <c r="G14" s="44">
        <v>1.8</v>
      </c>
      <c r="H14" s="23">
        <v>1.6</v>
      </c>
      <c r="I14" s="23">
        <v>1.5</v>
      </c>
      <c r="J14" s="23">
        <v>1.3</v>
      </c>
      <c r="K14" s="23">
        <v>1.2</v>
      </c>
      <c r="L14" s="23">
        <v>1.1000000000000001</v>
      </c>
      <c r="N14" s="29">
        <f t="shared" ref="N14:N17" si="29">RATE(6,,-F14,L14)</f>
        <v>-9.483632938527399E-2</v>
      </c>
      <c r="P14" s="29">
        <f t="shared" si="20"/>
        <v>0.1484413656605641</v>
      </c>
      <c r="Q14" s="29">
        <f t="shared" si="21"/>
        <v>0.11002678913126673</v>
      </c>
      <c r="R14" s="49">
        <f t="shared" si="22"/>
        <v>7.2692908806745893E-2</v>
      </c>
      <c r="S14" s="52">
        <f t="shared" si="23"/>
        <v>5.6250000000000001E-2</v>
      </c>
      <c r="T14" s="29">
        <f t="shared" si="24"/>
        <v>4.3216379007643899E-2</v>
      </c>
      <c r="U14" s="29">
        <f t="shared" si="25"/>
        <v>3.4657239897414573E-2</v>
      </c>
      <c r="V14" s="29">
        <f t="shared" si="26"/>
        <v>2.6199113260781944E-2</v>
      </c>
      <c r="W14" s="29">
        <f t="shared" si="27"/>
        <v>2.1096304630638867E-2</v>
      </c>
      <c r="X14" s="29">
        <f t="shared" si="28"/>
        <v>1.7186157331458483E-2</v>
      </c>
    </row>
    <row r="15" spans="2:24" x14ac:dyDescent="0.2">
      <c r="B15" s="9"/>
      <c r="C15" t="s">
        <v>279</v>
      </c>
      <c r="D15" s="23"/>
      <c r="E15" s="23"/>
      <c r="F15" s="37">
        <v>0.9</v>
      </c>
      <c r="G15" s="44">
        <v>1.3</v>
      </c>
      <c r="H15" s="23">
        <v>1.6</v>
      </c>
      <c r="I15" s="23">
        <v>1.9</v>
      </c>
      <c r="J15" s="23">
        <v>2.2000000000000002</v>
      </c>
      <c r="K15" s="23">
        <v>2.7</v>
      </c>
      <c r="L15" s="23">
        <v>3.2</v>
      </c>
      <c r="N15" s="29">
        <f t="shared" si="29"/>
        <v>0.23542934105426516</v>
      </c>
      <c r="P15" s="29">
        <f t="shared" si="20"/>
        <v>0</v>
      </c>
      <c r="Q15" s="29">
        <f t="shared" si="21"/>
        <v>0</v>
      </c>
      <c r="R15" s="49">
        <f t="shared" si="22"/>
        <v>3.2711808963035653E-2</v>
      </c>
      <c r="S15" s="52">
        <f t="shared" si="23"/>
        <v>4.0625000000000001E-2</v>
      </c>
      <c r="T15" s="29">
        <f t="shared" si="24"/>
        <v>4.3216379007643899E-2</v>
      </c>
      <c r="U15" s="29">
        <f t="shared" si="25"/>
        <v>4.3899170536725124E-2</v>
      </c>
      <c r="V15" s="29">
        <f t="shared" si="26"/>
        <v>4.4336960902861752E-2</v>
      </c>
      <c r="W15" s="29">
        <f t="shared" si="27"/>
        <v>4.7466685418937456E-2</v>
      </c>
      <c r="X15" s="29">
        <f t="shared" si="28"/>
        <v>4.999609405515195E-2</v>
      </c>
    </row>
    <row r="16" spans="2:24" x14ac:dyDescent="0.2">
      <c r="B16" s="9"/>
      <c r="C16" t="s">
        <v>280</v>
      </c>
      <c r="D16" s="23"/>
      <c r="E16" s="23"/>
      <c r="F16" s="37"/>
      <c r="G16" s="44"/>
      <c r="H16" s="23"/>
      <c r="I16" s="23"/>
      <c r="J16" s="23"/>
      <c r="K16" s="23"/>
      <c r="L16" s="23"/>
      <c r="P16" s="29">
        <f t="shared" si="20"/>
        <v>0</v>
      </c>
      <c r="Q16" s="29">
        <f t="shared" si="21"/>
        <v>0</v>
      </c>
      <c r="R16" s="49">
        <f t="shared" si="22"/>
        <v>0</v>
      </c>
      <c r="S16" s="52">
        <f t="shared" si="23"/>
        <v>0</v>
      </c>
      <c r="T16" s="29">
        <f t="shared" si="24"/>
        <v>0</v>
      </c>
      <c r="U16" s="29">
        <f t="shared" si="25"/>
        <v>0</v>
      </c>
      <c r="V16" s="29">
        <f t="shared" si="26"/>
        <v>0</v>
      </c>
      <c r="W16" s="29">
        <f t="shared" si="27"/>
        <v>0</v>
      </c>
      <c r="X16" s="29">
        <f t="shared" si="28"/>
        <v>0</v>
      </c>
    </row>
    <row r="17" spans="2:24" x14ac:dyDescent="0.2">
      <c r="B17" s="9"/>
      <c r="C17" t="s">
        <v>281</v>
      </c>
      <c r="D17" s="23"/>
      <c r="E17" s="23"/>
      <c r="F17" s="37">
        <v>0.4</v>
      </c>
      <c r="G17" s="44">
        <v>0.9</v>
      </c>
      <c r="H17" s="23">
        <v>1.8</v>
      </c>
      <c r="I17" s="23">
        <v>3</v>
      </c>
      <c r="J17" s="23">
        <v>4</v>
      </c>
      <c r="K17" s="23">
        <v>5</v>
      </c>
      <c r="L17" s="23">
        <v>6</v>
      </c>
      <c r="N17" s="29">
        <f t="shared" si="29"/>
        <v>0.57041780247501928</v>
      </c>
      <c r="P17" s="29">
        <f t="shared" si="20"/>
        <v>0</v>
      </c>
      <c r="Q17" s="29">
        <f t="shared" si="21"/>
        <v>0</v>
      </c>
      <c r="R17" s="49">
        <f t="shared" si="22"/>
        <v>1.453858176134918E-2</v>
      </c>
      <c r="S17" s="52">
        <f t="shared" si="23"/>
        <v>2.8125000000000001E-2</v>
      </c>
      <c r="T17" s="29">
        <f t="shared" si="24"/>
        <v>4.8618426383599381E-2</v>
      </c>
      <c r="U17" s="29">
        <f t="shared" si="25"/>
        <v>6.9314479794829145E-2</v>
      </c>
      <c r="V17" s="29">
        <f t="shared" si="26"/>
        <v>8.0612656187021361E-2</v>
      </c>
      <c r="W17" s="29">
        <f t="shared" si="27"/>
        <v>8.7901269294328607E-2</v>
      </c>
      <c r="X17" s="29">
        <f t="shared" si="28"/>
        <v>9.3742676353409896E-2</v>
      </c>
    </row>
    <row r="18" spans="2:24" s="18" customFormat="1" x14ac:dyDescent="0.2">
      <c r="B18" s="33"/>
      <c r="C18" s="18" t="s">
        <v>282</v>
      </c>
      <c r="D18" s="25"/>
      <c r="E18" s="25"/>
      <c r="F18" s="38"/>
      <c r="G18" s="45"/>
      <c r="H18" s="25"/>
      <c r="I18" s="25"/>
      <c r="J18" s="25"/>
      <c r="K18" s="25"/>
      <c r="L18" s="25"/>
      <c r="P18" s="29">
        <f t="shared" si="20"/>
        <v>0</v>
      </c>
      <c r="Q18" s="29">
        <f t="shared" si="21"/>
        <v>0</v>
      </c>
      <c r="R18" s="49">
        <f t="shared" si="22"/>
        <v>0</v>
      </c>
      <c r="S18" s="52">
        <f t="shared" si="23"/>
        <v>0</v>
      </c>
      <c r="T18" s="29">
        <f t="shared" si="24"/>
        <v>0</v>
      </c>
      <c r="U18" s="29">
        <f t="shared" si="25"/>
        <v>0</v>
      </c>
      <c r="V18" s="29">
        <f t="shared" si="26"/>
        <v>0</v>
      </c>
      <c r="W18" s="29">
        <f t="shared" si="27"/>
        <v>0</v>
      </c>
      <c r="X18" s="29">
        <f t="shared" si="28"/>
        <v>0</v>
      </c>
    </row>
    <row r="19" spans="2:24" x14ac:dyDescent="0.2">
      <c r="B19" s="9"/>
      <c r="C19" s="9" t="s">
        <v>283</v>
      </c>
      <c r="D19" s="24">
        <f>SUM(D12:D18)</f>
        <v>4.0999999999999996</v>
      </c>
      <c r="E19" s="24">
        <f t="shared" ref="E19:L19" si="30">SUM(E12:E18)</f>
        <v>6.8</v>
      </c>
      <c r="F19" s="39">
        <f t="shared" si="30"/>
        <v>9.5</v>
      </c>
      <c r="G19" s="46">
        <f t="shared" si="30"/>
        <v>10.8</v>
      </c>
      <c r="H19" s="24">
        <f t="shared" si="30"/>
        <v>12.3</v>
      </c>
      <c r="I19" s="24">
        <f t="shared" si="30"/>
        <v>14.3</v>
      </c>
      <c r="J19" s="24">
        <f t="shared" si="30"/>
        <v>16</v>
      </c>
      <c r="K19" s="24">
        <f t="shared" si="30"/>
        <v>18.2</v>
      </c>
      <c r="L19" s="24">
        <f t="shared" si="30"/>
        <v>20.3</v>
      </c>
      <c r="M19" s="9"/>
      <c r="N19" s="32">
        <f>RATE(6,,-F19,L19)</f>
        <v>0.13491169700009392</v>
      </c>
      <c r="P19" s="32">
        <f t="shared" si="20"/>
        <v>0.22541096266974542</v>
      </c>
      <c r="Q19" s="32">
        <f t="shared" si="21"/>
        <v>0.32529659395331034</v>
      </c>
      <c r="R19" s="50">
        <f t="shared" si="22"/>
        <v>0.345291316832043</v>
      </c>
      <c r="S19" s="53">
        <f t="shared" si="23"/>
        <v>0.33750000000000002</v>
      </c>
      <c r="T19" s="32">
        <f t="shared" si="24"/>
        <v>0.33222591362126247</v>
      </c>
      <c r="U19" s="32">
        <f t="shared" si="25"/>
        <v>0.33039902035535224</v>
      </c>
      <c r="V19" s="32">
        <f t="shared" si="26"/>
        <v>0.32245062474808545</v>
      </c>
      <c r="W19" s="32">
        <f t="shared" si="27"/>
        <v>0.31996062023135613</v>
      </c>
      <c r="X19" s="32">
        <f t="shared" si="28"/>
        <v>0.31716272166237014</v>
      </c>
    </row>
    <row r="20" spans="2:24" ht="5" customHeight="1" x14ac:dyDescent="0.2">
      <c r="B20" s="9"/>
      <c r="D20" s="23"/>
      <c r="E20" s="23"/>
      <c r="F20" s="37"/>
      <c r="G20" s="44"/>
      <c r="H20" s="23"/>
      <c r="I20" s="23"/>
      <c r="J20" s="23"/>
      <c r="K20" s="23"/>
      <c r="L20" s="23"/>
      <c r="R20" s="48"/>
      <c r="S20" s="51"/>
    </row>
    <row r="21" spans="2:24" x14ac:dyDescent="0.2">
      <c r="B21" s="9" t="s">
        <v>284</v>
      </c>
      <c r="C21" t="s">
        <v>285</v>
      </c>
      <c r="D21" s="23">
        <v>3.5</v>
      </c>
      <c r="E21" s="23">
        <v>3.2</v>
      </c>
      <c r="F21" s="37">
        <v>3.2</v>
      </c>
      <c r="G21" s="44">
        <v>3.1</v>
      </c>
      <c r="H21" s="23">
        <v>3.1</v>
      </c>
      <c r="I21" s="23">
        <v>3.1</v>
      </c>
      <c r="J21" s="23">
        <v>3.1</v>
      </c>
      <c r="K21" s="23">
        <v>3.1</v>
      </c>
      <c r="L21" s="23">
        <v>3.1</v>
      </c>
      <c r="N21" s="29">
        <f t="shared" ref="N21:N27" si="31">RATE(6,,-F21,L21)</f>
        <v>-5.277474659315981E-3</v>
      </c>
      <c r="P21" s="29">
        <f t="shared" ref="P21" si="32">IFERROR(D21/D$46,"NM ")</f>
        <v>0.19242399252295345</v>
      </c>
      <c r="Q21" s="29">
        <f t="shared" ref="Q21" si="33">IFERROR(E21/E$46,"NM ")</f>
        <v>0.15308075009567548</v>
      </c>
      <c r="R21" s="49">
        <f t="shared" ref="R21" si="34">IFERROR(F21/F$46,"NM ")</f>
        <v>0.11630865409079344</v>
      </c>
      <c r="S21" s="52">
        <f t="shared" ref="S21" si="35">IFERROR(G21/G$46,"NM ")</f>
        <v>9.6875000000000003E-2</v>
      </c>
      <c r="T21" s="29">
        <f t="shared" ref="T21" si="36">IFERROR(H21/H$46,"NM ")</f>
        <v>8.3731734327310042E-2</v>
      </c>
      <c r="U21" s="29">
        <f t="shared" ref="U21" si="37">IFERROR(I21/I$46,"NM ")</f>
        <v>7.1624962454656785E-2</v>
      </c>
      <c r="V21" s="29">
        <f t="shared" ref="V21" si="38">IFERROR(J21/J$46,"NM ")</f>
        <v>6.2474808544941564E-2</v>
      </c>
      <c r="W21" s="29">
        <f t="shared" ref="W21" si="39">IFERROR(K21/K$46,"NM ")</f>
        <v>5.4498786962483739E-2</v>
      </c>
      <c r="X21" s="29">
        <f t="shared" ref="X21" si="40">IFERROR(L21/L$46,"NM ")</f>
        <v>4.8433716115928449E-2</v>
      </c>
    </row>
    <row r="22" spans="2:24" x14ac:dyDescent="0.2">
      <c r="B22" s="9"/>
      <c r="C22" t="s">
        <v>286</v>
      </c>
      <c r="D22" s="23"/>
      <c r="E22" s="23"/>
      <c r="F22" s="37"/>
      <c r="G22" s="44">
        <v>0.5</v>
      </c>
      <c r="H22" s="23">
        <v>1.5</v>
      </c>
      <c r="I22" s="23">
        <v>2.4</v>
      </c>
      <c r="J22" s="23">
        <v>3.2</v>
      </c>
      <c r="K22" s="23">
        <v>4.0999999999999996</v>
      </c>
      <c r="L22" s="23">
        <v>5.4</v>
      </c>
      <c r="N22" s="30">
        <f>RATE(5,,-G22,L22)</f>
        <v>0.60947691199966114</v>
      </c>
      <c r="P22" s="29">
        <f t="shared" ref="P22:P28" si="41">IFERROR(D22/D$46,"NM ")</f>
        <v>0</v>
      </c>
      <c r="Q22" s="29">
        <f t="shared" ref="Q22:Q28" si="42">IFERROR(E22/E$46,"NM ")</f>
        <v>0</v>
      </c>
      <c r="R22" s="49">
        <f t="shared" ref="R22:R28" si="43">IFERROR(F22/F$46,"NM ")</f>
        <v>0</v>
      </c>
      <c r="S22" s="52">
        <f t="shared" ref="S22:S28" si="44">IFERROR(G22/G$46,"NM ")</f>
        <v>1.5625E-2</v>
      </c>
      <c r="T22" s="29">
        <f t="shared" ref="T22:T28" si="45">IFERROR(H22/H$46,"NM ")</f>
        <v>4.0515355319666151E-2</v>
      </c>
      <c r="U22" s="29">
        <f t="shared" ref="U22:U28" si="46">IFERROR(I22/I$46,"NM ")</f>
        <v>5.5451583835863308E-2</v>
      </c>
      <c r="V22" s="29">
        <f t="shared" ref="V22:V28" si="47">IFERROR(J22/J$46,"NM ")</f>
        <v>6.4490124949617103E-2</v>
      </c>
      <c r="W22" s="29">
        <f t="shared" ref="W22:W28" si="48">IFERROR(K22/K$46,"NM ")</f>
        <v>7.2079040821349458E-2</v>
      </c>
      <c r="X22" s="29">
        <f t="shared" ref="X22:X28" si="49">IFERROR(L22/L$46,"NM ")</f>
        <v>8.4368408718068916E-2</v>
      </c>
    </row>
    <row r="23" spans="2:24" x14ac:dyDescent="0.2">
      <c r="B23" s="9"/>
      <c r="C23" t="s">
        <v>287</v>
      </c>
      <c r="D23" s="23">
        <v>1.4</v>
      </c>
      <c r="E23" s="23">
        <v>1.4</v>
      </c>
      <c r="F23" s="37">
        <v>1.4</v>
      </c>
      <c r="G23" s="44">
        <v>1.5</v>
      </c>
      <c r="H23" s="23">
        <v>1.4</v>
      </c>
      <c r="I23" s="23">
        <v>1.3</v>
      </c>
      <c r="J23" s="23">
        <v>1.2</v>
      </c>
      <c r="K23" s="23">
        <v>1.2</v>
      </c>
      <c r="L23" s="23">
        <v>1.1000000000000001</v>
      </c>
      <c r="N23" s="29">
        <f t="shared" si="31"/>
        <v>-3.9396624809132683E-2</v>
      </c>
      <c r="P23" s="29">
        <f t="shared" si="41"/>
        <v>7.6969597009181365E-2</v>
      </c>
      <c r="Q23" s="29">
        <f t="shared" si="42"/>
        <v>6.6972828166858012E-2</v>
      </c>
      <c r="R23" s="49">
        <f t="shared" si="43"/>
        <v>5.0885036164722126E-2</v>
      </c>
      <c r="S23" s="52">
        <f t="shared" si="44"/>
        <v>4.6875E-2</v>
      </c>
      <c r="T23" s="29">
        <f t="shared" si="45"/>
        <v>3.7814331631688403E-2</v>
      </c>
      <c r="U23" s="29">
        <f t="shared" si="46"/>
        <v>3.0036274577759297E-2</v>
      </c>
      <c r="V23" s="29">
        <f t="shared" si="47"/>
        <v>2.4183796856106408E-2</v>
      </c>
      <c r="W23" s="29">
        <f t="shared" si="48"/>
        <v>2.1096304630638867E-2</v>
      </c>
      <c r="X23" s="29">
        <f t="shared" si="49"/>
        <v>1.7186157331458483E-2</v>
      </c>
    </row>
    <row r="24" spans="2:24" x14ac:dyDescent="0.2">
      <c r="B24" s="9"/>
      <c r="C24" t="s">
        <v>288</v>
      </c>
      <c r="D24" s="23">
        <v>0.9</v>
      </c>
      <c r="E24" s="23">
        <v>0.9</v>
      </c>
      <c r="F24" s="37">
        <v>0.8</v>
      </c>
      <c r="G24" s="44">
        <v>1.2</v>
      </c>
      <c r="H24" s="23">
        <v>1.4</v>
      </c>
      <c r="I24" s="23">
        <v>1.7</v>
      </c>
      <c r="J24" s="23">
        <v>2.1</v>
      </c>
      <c r="K24" s="23">
        <v>2.5</v>
      </c>
      <c r="L24" s="23">
        <v>3</v>
      </c>
      <c r="N24" s="29">
        <f t="shared" si="31"/>
        <v>0.24644143583921715</v>
      </c>
      <c r="P24" s="29">
        <f t="shared" si="41"/>
        <v>4.9480455220188027E-2</v>
      </c>
      <c r="Q24" s="29">
        <f t="shared" si="42"/>
        <v>4.3053960964408729E-2</v>
      </c>
      <c r="R24" s="49">
        <f t="shared" si="43"/>
        <v>2.907716352269836E-2</v>
      </c>
      <c r="S24" s="52">
        <f t="shared" si="44"/>
        <v>3.7499999999999999E-2</v>
      </c>
      <c r="T24" s="29">
        <f t="shared" si="45"/>
        <v>3.7814331631688403E-2</v>
      </c>
      <c r="U24" s="29">
        <f t="shared" si="46"/>
        <v>3.9278205217069845E-2</v>
      </c>
      <c r="V24" s="29">
        <f t="shared" si="47"/>
        <v>4.232164449818622E-2</v>
      </c>
      <c r="W24" s="29">
        <f t="shared" si="48"/>
        <v>4.3950634647164304E-2</v>
      </c>
      <c r="X24" s="29">
        <f t="shared" si="49"/>
        <v>4.6871338176704948E-2</v>
      </c>
    </row>
    <row r="25" spans="2:24" x14ac:dyDescent="0.2">
      <c r="B25" s="9"/>
      <c r="C25" t="s">
        <v>289</v>
      </c>
      <c r="D25" s="23"/>
      <c r="E25" s="23"/>
      <c r="F25" s="37">
        <v>0.4</v>
      </c>
      <c r="G25" s="44">
        <v>0.5</v>
      </c>
      <c r="H25" s="23">
        <v>0.5</v>
      </c>
      <c r="I25" s="23">
        <v>0.5</v>
      </c>
      <c r="J25" s="23">
        <v>0.5</v>
      </c>
      <c r="K25" s="23">
        <v>0.5</v>
      </c>
      <c r="L25" s="23">
        <v>0.5</v>
      </c>
      <c r="N25" s="29">
        <f t="shared" si="31"/>
        <v>3.7890815559709475E-2</v>
      </c>
      <c r="P25" s="29">
        <f t="shared" si="41"/>
        <v>0</v>
      </c>
      <c r="Q25" s="29">
        <f t="shared" si="42"/>
        <v>0</v>
      </c>
      <c r="R25" s="49">
        <f t="shared" si="43"/>
        <v>1.453858176134918E-2</v>
      </c>
      <c r="S25" s="52">
        <f t="shared" si="44"/>
        <v>1.5625E-2</v>
      </c>
      <c r="T25" s="29">
        <f t="shared" si="45"/>
        <v>1.3505118439888717E-2</v>
      </c>
      <c r="U25" s="29">
        <f t="shared" si="46"/>
        <v>1.1552413299138191E-2</v>
      </c>
      <c r="V25" s="29">
        <f t="shared" si="47"/>
        <v>1.007658202337767E-2</v>
      </c>
      <c r="W25" s="29">
        <f t="shared" si="48"/>
        <v>8.7901269294328611E-3</v>
      </c>
      <c r="X25" s="29">
        <f t="shared" si="49"/>
        <v>7.8118896961174916E-3</v>
      </c>
    </row>
    <row r="26" spans="2:24" x14ac:dyDescent="0.2">
      <c r="B26" s="9"/>
      <c r="C26" t="s">
        <v>290</v>
      </c>
      <c r="D26" s="23"/>
      <c r="E26" s="23"/>
      <c r="F26" s="37">
        <v>0.2</v>
      </c>
      <c r="G26" s="44">
        <v>0.2</v>
      </c>
      <c r="H26" s="23">
        <v>0.4</v>
      </c>
      <c r="I26" s="23">
        <v>0.5</v>
      </c>
      <c r="J26" s="23">
        <v>0.5</v>
      </c>
      <c r="K26" s="23">
        <v>0.6</v>
      </c>
      <c r="L26" s="23">
        <v>0.6</v>
      </c>
      <c r="N26" s="29">
        <f t="shared" si="31"/>
        <v>0.20093695517597918</v>
      </c>
      <c r="P26" s="29">
        <f t="shared" si="41"/>
        <v>0</v>
      </c>
      <c r="Q26" s="29">
        <f t="shared" si="42"/>
        <v>0</v>
      </c>
      <c r="R26" s="49">
        <f t="shared" si="43"/>
        <v>7.26929088067459E-3</v>
      </c>
      <c r="S26" s="52">
        <f t="shared" si="44"/>
        <v>6.2500000000000003E-3</v>
      </c>
      <c r="T26" s="29">
        <f t="shared" si="45"/>
        <v>1.0804094751910975E-2</v>
      </c>
      <c r="U26" s="29">
        <f t="shared" si="46"/>
        <v>1.1552413299138191E-2</v>
      </c>
      <c r="V26" s="29">
        <f t="shared" si="47"/>
        <v>1.007658202337767E-2</v>
      </c>
      <c r="W26" s="29">
        <f t="shared" si="48"/>
        <v>1.0548152315319434E-2</v>
      </c>
      <c r="X26" s="29">
        <f t="shared" si="49"/>
        <v>9.3742676353409885E-3</v>
      </c>
    </row>
    <row r="27" spans="2:24" x14ac:dyDescent="0.2">
      <c r="B27" s="9"/>
      <c r="C27" t="s">
        <v>291</v>
      </c>
      <c r="D27" s="23"/>
      <c r="E27" s="23"/>
      <c r="F27" s="37">
        <f>0.4+0</f>
        <v>0.4</v>
      </c>
      <c r="G27" s="44">
        <f>0.5+0</f>
        <v>0.5</v>
      </c>
      <c r="H27" s="23">
        <f>0.5+0</f>
        <v>0.5</v>
      </c>
      <c r="I27" s="23">
        <f>0.5+0.2</f>
        <v>0.7</v>
      </c>
      <c r="J27" s="23">
        <f>0.5+0.4</f>
        <v>0.9</v>
      </c>
      <c r="K27" s="23">
        <f>0.5+0.5</f>
        <v>1</v>
      </c>
      <c r="L27" s="23">
        <f>0.5+0.5</f>
        <v>1</v>
      </c>
      <c r="N27" s="29">
        <f t="shared" si="31"/>
        <v>0.16499305075071297</v>
      </c>
      <c r="P27" s="29">
        <f t="shared" si="41"/>
        <v>0</v>
      </c>
      <c r="Q27" s="29">
        <f t="shared" si="42"/>
        <v>0</v>
      </c>
      <c r="R27" s="49">
        <f t="shared" si="43"/>
        <v>1.453858176134918E-2</v>
      </c>
      <c r="S27" s="52">
        <f t="shared" si="44"/>
        <v>1.5625E-2</v>
      </c>
      <c r="T27" s="29">
        <f t="shared" si="45"/>
        <v>1.3505118439888717E-2</v>
      </c>
      <c r="U27" s="29">
        <f t="shared" si="46"/>
        <v>1.6173378618793467E-2</v>
      </c>
      <c r="V27" s="29">
        <f t="shared" si="47"/>
        <v>1.8137847642079808E-2</v>
      </c>
      <c r="W27" s="29">
        <f t="shared" si="48"/>
        <v>1.7580253858865722E-2</v>
      </c>
      <c r="X27" s="29">
        <f t="shared" si="49"/>
        <v>1.5623779392234983E-2</v>
      </c>
    </row>
    <row r="28" spans="2:24" s="18" customFormat="1" x14ac:dyDescent="0.2">
      <c r="B28" s="33"/>
      <c r="C28" s="18" t="s">
        <v>292</v>
      </c>
      <c r="D28" s="25"/>
      <c r="E28" s="25"/>
      <c r="F28" s="38"/>
      <c r="G28" s="45"/>
      <c r="H28" s="25"/>
      <c r="I28" s="25"/>
      <c r="J28" s="25"/>
      <c r="K28" s="25"/>
      <c r="L28" s="25"/>
      <c r="P28" s="29">
        <f t="shared" si="41"/>
        <v>0</v>
      </c>
      <c r="Q28" s="29">
        <f t="shared" si="42"/>
        <v>0</v>
      </c>
      <c r="R28" s="49">
        <f t="shared" si="43"/>
        <v>0</v>
      </c>
      <c r="S28" s="52">
        <f t="shared" si="44"/>
        <v>0</v>
      </c>
      <c r="T28" s="29">
        <f t="shared" si="45"/>
        <v>0</v>
      </c>
      <c r="U28" s="29">
        <f t="shared" si="46"/>
        <v>0</v>
      </c>
      <c r="V28" s="29">
        <f t="shared" si="47"/>
        <v>0</v>
      </c>
      <c r="W28" s="29">
        <f t="shared" si="48"/>
        <v>0</v>
      </c>
      <c r="X28" s="29">
        <f t="shared" si="49"/>
        <v>0</v>
      </c>
    </row>
    <row r="29" spans="2:24" x14ac:dyDescent="0.2">
      <c r="B29" s="9"/>
      <c r="C29" s="9" t="s">
        <v>293</v>
      </c>
      <c r="D29" s="24">
        <f>SUM(D21:D28)</f>
        <v>5.8000000000000007</v>
      </c>
      <c r="E29" s="24">
        <f t="shared" ref="E29:L29" si="50">SUM(E21:E28)</f>
        <v>5.5</v>
      </c>
      <c r="F29" s="39">
        <f t="shared" si="50"/>
        <v>6.4</v>
      </c>
      <c r="G29" s="46">
        <f t="shared" si="50"/>
        <v>7.5</v>
      </c>
      <c r="H29" s="24">
        <f t="shared" si="50"/>
        <v>8.8000000000000007</v>
      </c>
      <c r="I29" s="24">
        <f t="shared" si="50"/>
        <v>10.199999999999999</v>
      </c>
      <c r="J29" s="24">
        <f t="shared" si="50"/>
        <v>11.500000000000002</v>
      </c>
      <c r="K29" s="24">
        <f t="shared" si="50"/>
        <v>12.999999999999998</v>
      </c>
      <c r="L29" s="24">
        <f t="shared" si="50"/>
        <v>14.7</v>
      </c>
      <c r="M29" s="9"/>
      <c r="N29" s="32">
        <f>RATE(6,,-F29,L29)</f>
        <v>0.1486548750497354</v>
      </c>
      <c r="P29" s="32">
        <f t="shared" ref="P29" si="51">IFERROR(D29/D$46,"NM ")</f>
        <v>0.31887404475232289</v>
      </c>
      <c r="Q29" s="32">
        <f t="shared" ref="Q29" si="52">IFERROR(E29/E$46,"NM ")</f>
        <v>0.26310753922694219</v>
      </c>
      <c r="R29" s="50">
        <f t="shared" ref="R29" si="53">IFERROR(F29/F$46,"NM ")</f>
        <v>0.23261730818158688</v>
      </c>
      <c r="S29" s="53">
        <f t="shared" ref="S29" si="54">IFERROR(G29/G$46,"NM ")</f>
        <v>0.234375</v>
      </c>
      <c r="T29" s="32">
        <f t="shared" ref="T29" si="55">IFERROR(H29/H$46,"NM ")</f>
        <v>0.23769008454204144</v>
      </c>
      <c r="U29" s="32">
        <f t="shared" ref="U29" si="56">IFERROR(I29/I$46,"NM ")</f>
        <v>0.23566923130241907</v>
      </c>
      <c r="V29" s="32">
        <f t="shared" ref="V29" si="57">IFERROR(J29/J$46,"NM ")</f>
        <v>0.23176138653768646</v>
      </c>
      <c r="W29" s="32">
        <f t="shared" ref="W29" si="58">IFERROR(K29/K$46,"NM ")</f>
        <v>0.22854330016525437</v>
      </c>
      <c r="X29" s="32">
        <f t="shared" ref="X29" si="59">IFERROR(L29/L$46,"NM ")</f>
        <v>0.22966955706585424</v>
      </c>
    </row>
    <row r="30" spans="2:24" ht="5" customHeight="1" x14ac:dyDescent="0.2">
      <c r="B30" s="9"/>
      <c r="D30" s="23"/>
      <c r="E30" s="23"/>
      <c r="F30" s="37"/>
      <c r="G30" s="44"/>
      <c r="H30" s="23"/>
      <c r="I30" s="23"/>
      <c r="J30" s="23"/>
      <c r="K30" s="23"/>
      <c r="L30" s="23"/>
      <c r="R30" s="48"/>
      <c r="S30" s="51"/>
    </row>
    <row r="31" spans="2:24" x14ac:dyDescent="0.2">
      <c r="B31" s="9" t="s">
        <v>294</v>
      </c>
      <c r="C31" t="s">
        <v>295</v>
      </c>
      <c r="D31" s="23">
        <v>1.7</v>
      </c>
      <c r="E31" s="23">
        <v>1.9</v>
      </c>
      <c r="F31" s="37">
        <v>1.9</v>
      </c>
      <c r="G31" s="44">
        <v>2</v>
      </c>
      <c r="H31" s="23">
        <v>2.1</v>
      </c>
      <c r="I31" s="23">
        <v>2.2000000000000002</v>
      </c>
      <c r="J31" s="23">
        <v>2.2999999999999998</v>
      </c>
      <c r="K31" s="23">
        <v>2.4</v>
      </c>
      <c r="L31" s="23">
        <v>2.6</v>
      </c>
      <c r="N31" s="29">
        <f t="shared" ref="N31:N32" si="60">RATE(6,,-F31,L31)</f>
        <v>5.3666788095313549E-2</v>
      </c>
      <c r="P31" s="29">
        <f t="shared" ref="P31" si="61">IFERROR(D31/D$46,"NM ")</f>
        <v>9.3463082082577378E-2</v>
      </c>
      <c r="Q31" s="29">
        <f t="shared" ref="Q31" si="62">IFERROR(E31/E$46,"NM ")</f>
        <v>9.0891695369307302E-2</v>
      </c>
      <c r="R31" s="49">
        <f t="shared" ref="R31" si="63">IFERROR(F31/F$46,"NM ")</f>
        <v>6.9058263366408593E-2</v>
      </c>
      <c r="S31" s="52">
        <f t="shared" ref="S31" si="64">IFERROR(G31/G$46,"NM ")</f>
        <v>6.25E-2</v>
      </c>
      <c r="T31" s="29">
        <f t="shared" ref="T31" si="65">IFERROR(H31/H$46,"NM ")</f>
        <v>5.6721497447532611E-2</v>
      </c>
      <c r="U31" s="29">
        <f t="shared" ref="U31" si="66">IFERROR(I31/I$46,"NM ")</f>
        <v>5.0830618516208043E-2</v>
      </c>
      <c r="V31" s="29">
        <f t="shared" ref="V31" si="67">IFERROR(J31/J$46,"NM ")</f>
        <v>4.6352277307537285E-2</v>
      </c>
      <c r="W31" s="29">
        <f t="shared" ref="W31" si="68">IFERROR(K31/K$46,"NM ")</f>
        <v>4.2192609261277735E-2</v>
      </c>
      <c r="X31" s="29">
        <f t="shared" ref="X31" si="69">IFERROR(L31/L$46,"NM ")</f>
        <v>4.0621826419810957E-2</v>
      </c>
    </row>
    <row r="32" spans="2:24" x14ac:dyDescent="0.2">
      <c r="B32" s="9"/>
      <c r="C32" t="s">
        <v>296</v>
      </c>
      <c r="D32" s="23"/>
      <c r="E32" s="23"/>
      <c r="F32" s="37">
        <v>0.5</v>
      </c>
      <c r="G32" s="44">
        <v>0.7</v>
      </c>
      <c r="H32" s="23">
        <v>0.6</v>
      </c>
      <c r="I32" s="23">
        <v>0.6</v>
      </c>
      <c r="J32" s="23">
        <v>0.6</v>
      </c>
      <c r="K32" s="23">
        <v>0.5</v>
      </c>
      <c r="L32" s="23">
        <v>0.5</v>
      </c>
      <c r="N32" s="29">
        <f t="shared" si="60"/>
        <v>8.2329817756500155E-15</v>
      </c>
      <c r="P32" s="29">
        <f t="shared" ref="P32:P36" si="70">IFERROR(D32/D$46,"NM ")</f>
        <v>0</v>
      </c>
      <c r="Q32" s="29">
        <f t="shared" ref="Q32:Q36" si="71">IFERROR(E32/E$46,"NM ")</f>
        <v>0</v>
      </c>
      <c r="R32" s="49">
        <f t="shared" ref="R32:R36" si="72">IFERROR(F32/F$46,"NM ")</f>
        <v>1.8173227201686473E-2</v>
      </c>
      <c r="S32" s="52">
        <f t="shared" ref="S32:S36" si="73">IFERROR(G32/G$46,"NM ")</f>
        <v>2.1874999999999999E-2</v>
      </c>
      <c r="T32" s="29">
        <f t="shared" ref="T32:T36" si="74">IFERROR(H32/H$46,"NM ")</f>
        <v>1.620614212786646E-2</v>
      </c>
      <c r="U32" s="29">
        <f t="shared" ref="U32:U36" si="75">IFERROR(I32/I$46,"NM ")</f>
        <v>1.3862895958965827E-2</v>
      </c>
      <c r="V32" s="29">
        <f t="shared" ref="V32:V36" si="76">IFERROR(J32/J$46,"NM ")</f>
        <v>1.2091898428053204E-2</v>
      </c>
      <c r="W32" s="29">
        <f t="shared" ref="W32:W36" si="77">IFERROR(K32/K$46,"NM ")</f>
        <v>8.7901269294328611E-3</v>
      </c>
      <c r="X32" s="29">
        <f t="shared" ref="X32:X36" si="78">IFERROR(L32/L$46,"NM ")</f>
        <v>7.8118896961174916E-3</v>
      </c>
    </row>
    <row r="33" spans="1:24" x14ac:dyDescent="0.2">
      <c r="B33" s="9"/>
      <c r="C33" t="s">
        <v>297</v>
      </c>
      <c r="D33" s="23"/>
      <c r="E33" s="23"/>
      <c r="F33" s="37"/>
      <c r="G33" s="44"/>
      <c r="H33" s="23"/>
      <c r="I33" s="23"/>
      <c r="J33" s="23"/>
      <c r="K33" s="23"/>
      <c r="L33" s="23"/>
      <c r="P33" s="29">
        <f t="shared" si="70"/>
        <v>0</v>
      </c>
      <c r="Q33" s="29">
        <f t="shared" si="71"/>
        <v>0</v>
      </c>
      <c r="R33" s="49">
        <f t="shared" si="72"/>
        <v>0</v>
      </c>
      <c r="S33" s="52">
        <f t="shared" si="73"/>
        <v>0</v>
      </c>
      <c r="T33" s="29">
        <f t="shared" si="74"/>
        <v>0</v>
      </c>
      <c r="U33" s="29">
        <f t="shared" si="75"/>
        <v>0</v>
      </c>
      <c r="V33" s="29">
        <f t="shared" si="76"/>
        <v>0</v>
      </c>
      <c r="W33" s="29">
        <f t="shared" si="77"/>
        <v>0</v>
      </c>
      <c r="X33" s="29">
        <f t="shared" si="78"/>
        <v>0</v>
      </c>
    </row>
    <row r="34" spans="1:24" x14ac:dyDescent="0.2">
      <c r="B34" s="9"/>
      <c r="C34" t="s">
        <v>298</v>
      </c>
      <c r="D34" s="23"/>
      <c r="E34" s="23"/>
      <c r="F34" s="37"/>
      <c r="G34" s="44"/>
      <c r="H34" s="23"/>
      <c r="I34" s="23"/>
      <c r="J34" s="23"/>
      <c r="K34" s="23"/>
      <c r="L34" s="23"/>
      <c r="P34" s="29">
        <f t="shared" si="70"/>
        <v>0</v>
      </c>
      <c r="Q34" s="29">
        <f t="shared" si="71"/>
        <v>0</v>
      </c>
      <c r="R34" s="49">
        <f t="shared" si="72"/>
        <v>0</v>
      </c>
      <c r="S34" s="52">
        <f t="shared" si="73"/>
        <v>0</v>
      </c>
      <c r="T34" s="29">
        <f t="shared" si="74"/>
        <v>0</v>
      </c>
      <c r="U34" s="29">
        <f t="shared" si="75"/>
        <v>0</v>
      </c>
      <c r="V34" s="29">
        <f t="shared" si="76"/>
        <v>0</v>
      </c>
      <c r="W34" s="29">
        <f t="shared" si="77"/>
        <v>0</v>
      </c>
      <c r="X34" s="29">
        <f t="shared" si="78"/>
        <v>0</v>
      </c>
    </row>
    <row r="35" spans="1:24" s="18" customFormat="1" x14ac:dyDescent="0.2">
      <c r="B35" s="33"/>
      <c r="C35" s="18" t="s">
        <v>299</v>
      </c>
      <c r="D35" s="25"/>
      <c r="E35" s="25"/>
      <c r="F35" s="38"/>
      <c r="G35" s="45"/>
      <c r="H35" s="25"/>
      <c r="I35" s="25"/>
      <c r="J35" s="25"/>
      <c r="K35" s="25"/>
      <c r="L35" s="25"/>
      <c r="P35" s="29">
        <f t="shared" si="70"/>
        <v>0</v>
      </c>
      <c r="Q35" s="29">
        <f t="shared" si="71"/>
        <v>0</v>
      </c>
      <c r="R35" s="49">
        <f t="shared" si="72"/>
        <v>0</v>
      </c>
      <c r="S35" s="52">
        <f t="shared" si="73"/>
        <v>0</v>
      </c>
      <c r="T35" s="29">
        <f t="shared" si="74"/>
        <v>0</v>
      </c>
      <c r="U35" s="29">
        <f t="shared" si="75"/>
        <v>0</v>
      </c>
      <c r="V35" s="29">
        <f t="shared" si="76"/>
        <v>0</v>
      </c>
      <c r="W35" s="29">
        <f t="shared" si="77"/>
        <v>0</v>
      </c>
      <c r="X35" s="29">
        <f t="shared" si="78"/>
        <v>0</v>
      </c>
    </row>
    <row r="36" spans="1:24" x14ac:dyDescent="0.2">
      <c r="B36" s="9"/>
      <c r="C36" s="9" t="s">
        <v>300</v>
      </c>
      <c r="D36" s="24">
        <f>SUM(D31:D35)</f>
        <v>1.7</v>
      </c>
      <c r="E36" s="24">
        <f t="shared" ref="E36:L36" si="79">SUM(E31:E35)</f>
        <v>1.9</v>
      </c>
      <c r="F36" s="39">
        <f t="shared" si="79"/>
        <v>2.4</v>
      </c>
      <c r="G36" s="46">
        <f t="shared" si="79"/>
        <v>2.7</v>
      </c>
      <c r="H36" s="24">
        <f t="shared" si="79"/>
        <v>2.7</v>
      </c>
      <c r="I36" s="24">
        <f t="shared" si="79"/>
        <v>2.8000000000000003</v>
      </c>
      <c r="J36" s="24">
        <f t="shared" si="79"/>
        <v>2.9</v>
      </c>
      <c r="K36" s="24">
        <f t="shared" si="79"/>
        <v>2.9</v>
      </c>
      <c r="L36" s="24">
        <f t="shared" si="79"/>
        <v>3.1</v>
      </c>
      <c r="M36" s="9"/>
      <c r="N36" s="32">
        <f>RATE(6,,-F36,L36)</f>
        <v>4.3578385260750474E-2</v>
      </c>
      <c r="P36" s="32">
        <f t="shared" si="70"/>
        <v>9.3463082082577378E-2</v>
      </c>
      <c r="Q36" s="32">
        <f t="shared" si="71"/>
        <v>9.0891695369307302E-2</v>
      </c>
      <c r="R36" s="50">
        <f t="shared" si="72"/>
        <v>8.723149056809508E-2</v>
      </c>
      <c r="S36" s="53">
        <f t="shared" si="73"/>
        <v>8.4375000000000006E-2</v>
      </c>
      <c r="T36" s="32">
        <f t="shared" si="74"/>
        <v>7.2927639575399078E-2</v>
      </c>
      <c r="U36" s="32">
        <f t="shared" si="75"/>
        <v>6.4693514475173866E-2</v>
      </c>
      <c r="V36" s="32">
        <f t="shared" si="76"/>
        <v>5.8444175735590492E-2</v>
      </c>
      <c r="W36" s="32">
        <f t="shared" si="77"/>
        <v>5.0982736190710594E-2</v>
      </c>
      <c r="X36" s="32">
        <f t="shared" si="78"/>
        <v>4.8433716115928449E-2</v>
      </c>
    </row>
    <row r="37" spans="1:24" ht="5" customHeight="1" x14ac:dyDescent="0.2">
      <c r="B37" s="9"/>
      <c r="D37" s="23"/>
      <c r="E37" s="23"/>
      <c r="F37" s="37"/>
      <c r="G37" s="44"/>
      <c r="H37" s="23"/>
      <c r="I37" s="23"/>
      <c r="J37" s="23"/>
      <c r="K37" s="23"/>
      <c r="L37" s="23"/>
      <c r="R37" s="48"/>
      <c r="S37" s="51"/>
    </row>
    <row r="38" spans="1:24" x14ac:dyDescent="0.2">
      <c r="B38" s="9" t="s">
        <v>301</v>
      </c>
      <c r="C38" t="s">
        <v>302</v>
      </c>
      <c r="D38" s="23">
        <v>0.6</v>
      </c>
      <c r="E38" s="23">
        <v>0.5</v>
      </c>
      <c r="F38" s="37">
        <v>1</v>
      </c>
      <c r="G38" s="44">
        <v>2.4</v>
      </c>
      <c r="H38" s="23">
        <v>3</v>
      </c>
      <c r="I38" s="23">
        <v>3.9</v>
      </c>
      <c r="J38" s="23">
        <v>4.5</v>
      </c>
      <c r="K38" s="23">
        <v>5.2</v>
      </c>
      <c r="L38" s="23">
        <v>5.8</v>
      </c>
      <c r="N38" s="29">
        <f t="shared" ref="N38" si="80">RATE(6,,-F38,L38)</f>
        <v>0.34041104857541732</v>
      </c>
      <c r="P38" s="29">
        <f t="shared" ref="P38" si="81">IFERROR(D38/D$46,"NM ")</f>
        <v>3.2986970146792013E-2</v>
      </c>
      <c r="Q38" s="29">
        <f t="shared" ref="Q38" si="82">IFERROR(E38/E$46,"NM ")</f>
        <v>2.3918867202449293E-2</v>
      </c>
      <c r="R38" s="49">
        <f t="shared" ref="R38" si="83">IFERROR(F38/F$46,"NM ")</f>
        <v>3.6346454403372946E-2</v>
      </c>
      <c r="S38" s="52">
        <f t="shared" ref="S38" si="84">IFERROR(G38/G$46,"NM ")</f>
        <v>7.4999999999999997E-2</v>
      </c>
      <c r="T38" s="29">
        <f t="shared" ref="T38" si="85">IFERROR(H38/H$46,"NM ")</f>
        <v>8.1030710639332301E-2</v>
      </c>
      <c r="U38" s="29">
        <f t="shared" ref="U38" si="86">IFERROR(I38/I$46,"NM ")</f>
        <v>9.0108823733277887E-2</v>
      </c>
      <c r="V38" s="29">
        <f t="shared" ref="V38" si="87">IFERROR(J38/J$46,"NM ")</f>
        <v>9.0689238210399037E-2</v>
      </c>
      <c r="W38" s="29">
        <f t="shared" ref="W38" si="88">IFERROR(K38/K$46,"NM ")</f>
        <v>9.1417320066101759E-2</v>
      </c>
      <c r="X38" s="29">
        <f t="shared" ref="X38" si="89">IFERROR(L38/L$46,"NM ")</f>
        <v>9.0617920474962893E-2</v>
      </c>
    </row>
    <row r="39" spans="1:24" x14ac:dyDescent="0.2">
      <c r="C39" t="s">
        <v>303</v>
      </c>
      <c r="D39" s="23"/>
      <c r="E39" s="23"/>
      <c r="F39" s="37"/>
      <c r="G39" s="44"/>
      <c r="H39" s="23"/>
      <c r="I39" s="23"/>
      <c r="J39" s="23"/>
      <c r="K39" s="23"/>
      <c r="L39" s="23"/>
      <c r="P39" s="29">
        <f t="shared" ref="P39:P43" si="90">IFERROR(D39/D$46,"NM ")</f>
        <v>0</v>
      </c>
      <c r="Q39" s="29">
        <f t="shared" ref="Q39:Q43" si="91">IFERROR(E39/E$46,"NM ")</f>
        <v>0</v>
      </c>
      <c r="R39" s="49">
        <f t="shared" ref="R39:R43" si="92">IFERROR(F39/F$46,"NM ")</f>
        <v>0</v>
      </c>
      <c r="S39" s="52">
        <f t="shared" ref="S39:S43" si="93">IFERROR(G39/G$46,"NM ")</f>
        <v>0</v>
      </c>
      <c r="T39" s="29">
        <f t="shared" ref="T39:T43" si="94">IFERROR(H39/H$46,"NM ")</f>
        <v>0</v>
      </c>
      <c r="U39" s="29">
        <f t="shared" ref="U39:U43" si="95">IFERROR(I39/I$46,"NM ")</f>
        <v>0</v>
      </c>
      <c r="V39" s="29">
        <f t="shared" ref="V39:V43" si="96">IFERROR(J39/J$46,"NM ")</f>
        <v>0</v>
      </c>
      <c r="W39" s="29">
        <f t="shared" ref="W39:W43" si="97">IFERROR(K39/K$46,"NM ")</f>
        <v>0</v>
      </c>
      <c r="X39" s="29">
        <f t="shared" ref="X39:X43" si="98">IFERROR(L39/L$46,"NM ")</f>
        <v>0</v>
      </c>
    </row>
    <row r="40" spans="1:24" x14ac:dyDescent="0.2">
      <c r="C40" t="s">
        <v>301</v>
      </c>
      <c r="D40" s="23"/>
      <c r="E40" s="23"/>
      <c r="F40" s="37"/>
      <c r="G40" s="44"/>
      <c r="H40" s="23"/>
      <c r="I40" s="23"/>
      <c r="J40" s="23"/>
      <c r="K40" s="23"/>
      <c r="L40" s="23"/>
      <c r="P40" s="29">
        <f t="shared" si="90"/>
        <v>0</v>
      </c>
      <c r="Q40" s="29">
        <f t="shared" si="91"/>
        <v>0</v>
      </c>
      <c r="R40" s="49">
        <f t="shared" si="92"/>
        <v>0</v>
      </c>
      <c r="S40" s="52">
        <f t="shared" si="93"/>
        <v>0</v>
      </c>
      <c r="T40" s="29">
        <f t="shared" si="94"/>
        <v>0</v>
      </c>
      <c r="U40" s="29">
        <f t="shared" si="95"/>
        <v>0</v>
      </c>
      <c r="V40" s="29">
        <f t="shared" si="96"/>
        <v>0</v>
      </c>
      <c r="W40" s="29">
        <f t="shared" si="97"/>
        <v>0</v>
      </c>
      <c r="X40" s="29">
        <f t="shared" si="98"/>
        <v>0</v>
      </c>
    </row>
    <row r="41" spans="1:24" x14ac:dyDescent="0.2">
      <c r="C41" s="18" t="s">
        <v>304</v>
      </c>
      <c r="D41" s="23"/>
      <c r="E41" s="23"/>
      <c r="F41" s="37"/>
      <c r="G41" s="44"/>
      <c r="H41" s="23"/>
      <c r="I41" s="23"/>
      <c r="J41" s="23"/>
      <c r="K41" s="23"/>
      <c r="L41" s="23"/>
      <c r="P41" s="29">
        <f t="shared" si="90"/>
        <v>0</v>
      </c>
      <c r="Q41" s="29">
        <f t="shared" si="91"/>
        <v>0</v>
      </c>
      <c r="R41" s="49">
        <f t="shared" si="92"/>
        <v>0</v>
      </c>
      <c r="S41" s="52">
        <f t="shared" si="93"/>
        <v>0</v>
      </c>
      <c r="T41" s="29">
        <f t="shared" si="94"/>
        <v>0</v>
      </c>
      <c r="U41" s="29">
        <f t="shared" si="95"/>
        <v>0</v>
      </c>
      <c r="V41" s="29">
        <f t="shared" si="96"/>
        <v>0</v>
      </c>
      <c r="W41" s="29">
        <f t="shared" si="97"/>
        <v>0</v>
      </c>
      <c r="X41" s="29">
        <f t="shared" si="98"/>
        <v>0</v>
      </c>
    </row>
    <row r="42" spans="1:24" s="18" customFormat="1" x14ac:dyDescent="0.2">
      <c r="C42" s="18" t="s">
        <v>305</v>
      </c>
      <c r="D42" s="25"/>
      <c r="E42" s="25"/>
      <c r="F42" s="38"/>
      <c r="G42" s="45"/>
      <c r="H42" s="25"/>
      <c r="I42" s="25"/>
      <c r="J42" s="25"/>
      <c r="K42" s="25"/>
      <c r="L42" s="25"/>
      <c r="P42" s="29">
        <f t="shared" si="90"/>
        <v>0</v>
      </c>
      <c r="Q42" s="29">
        <f t="shared" si="91"/>
        <v>0</v>
      </c>
      <c r="R42" s="49">
        <f t="shared" si="92"/>
        <v>0</v>
      </c>
      <c r="S42" s="52">
        <f t="shared" si="93"/>
        <v>0</v>
      </c>
      <c r="T42" s="29">
        <f t="shared" si="94"/>
        <v>0</v>
      </c>
      <c r="U42" s="29">
        <f t="shared" si="95"/>
        <v>0</v>
      </c>
      <c r="V42" s="29">
        <f t="shared" si="96"/>
        <v>0</v>
      </c>
      <c r="W42" s="29">
        <f t="shared" si="97"/>
        <v>0</v>
      </c>
      <c r="X42" s="29">
        <f t="shared" si="98"/>
        <v>0</v>
      </c>
    </row>
    <row r="43" spans="1:24" x14ac:dyDescent="0.2">
      <c r="C43" s="9" t="s">
        <v>306</v>
      </c>
      <c r="D43" s="24">
        <f>SUM(D38:D42)</f>
        <v>0.6</v>
      </c>
      <c r="E43" s="24">
        <f t="shared" ref="E43:L43" si="99">SUM(E38:E42)</f>
        <v>0.5</v>
      </c>
      <c r="F43" s="39">
        <f t="shared" si="99"/>
        <v>1</v>
      </c>
      <c r="G43" s="46">
        <f t="shared" si="99"/>
        <v>2.4</v>
      </c>
      <c r="H43" s="24">
        <f t="shared" si="99"/>
        <v>3</v>
      </c>
      <c r="I43" s="24">
        <f t="shared" si="99"/>
        <v>3.9</v>
      </c>
      <c r="J43" s="24">
        <f t="shared" si="99"/>
        <v>4.5</v>
      </c>
      <c r="K43" s="24">
        <f t="shared" si="99"/>
        <v>5.2</v>
      </c>
      <c r="L43" s="24">
        <f t="shared" si="99"/>
        <v>5.8</v>
      </c>
      <c r="M43" s="9"/>
      <c r="N43" s="32">
        <f>RATE(6,,-F43,L43)</f>
        <v>0.34041104857541732</v>
      </c>
      <c r="P43" s="32">
        <f t="shared" si="90"/>
        <v>3.2986970146792013E-2</v>
      </c>
      <c r="Q43" s="32">
        <f t="shared" si="91"/>
        <v>2.3918867202449293E-2</v>
      </c>
      <c r="R43" s="50">
        <f t="shared" si="92"/>
        <v>3.6346454403372946E-2</v>
      </c>
      <c r="S43" s="53">
        <f t="shared" si="93"/>
        <v>7.4999999999999997E-2</v>
      </c>
      <c r="T43" s="32">
        <f t="shared" si="94"/>
        <v>8.1030710639332301E-2</v>
      </c>
      <c r="U43" s="32">
        <f t="shared" si="95"/>
        <v>9.0108823733277887E-2</v>
      </c>
      <c r="V43" s="32">
        <f t="shared" si="96"/>
        <v>9.0689238210399037E-2</v>
      </c>
      <c r="W43" s="32">
        <f t="shared" si="97"/>
        <v>9.1417320066101759E-2</v>
      </c>
      <c r="X43" s="32">
        <f t="shared" si="98"/>
        <v>9.0617920474962893E-2</v>
      </c>
    </row>
    <row r="44" spans="1:24" ht="5" customHeight="1" x14ac:dyDescent="0.2">
      <c r="D44" s="23"/>
      <c r="E44" s="23"/>
      <c r="F44" s="37"/>
      <c r="G44" s="44"/>
      <c r="H44" s="23"/>
      <c r="I44" s="23"/>
      <c r="J44" s="23"/>
      <c r="K44" s="23"/>
      <c r="L44" s="23"/>
      <c r="R44" s="48"/>
      <c r="S44" s="51"/>
    </row>
    <row r="45" spans="1:24" s="18" customFormat="1" ht="14.5" customHeight="1" x14ac:dyDescent="0.2">
      <c r="C45" s="18" t="s">
        <v>307</v>
      </c>
      <c r="D45" s="26">
        <f>'Income Statement'!C5/1000-SUM(D5:D9,D12:D18,D21:D28,D31:D35,D38:D42)</f>
        <v>3.3890000000000011</v>
      </c>
      <c r="E45" s="26">
        <f>'Income Statement'!D5/1000-SUM(E5:E9,E12:E18,E21:E28,E31:E35,E38:E42)</f>
        <v>1.7040000000000006</v>
      </c>
      <c r="F45" s="40">
        <f>'Income Statement'!E5/1000-SUM(F5:F9,F12:F18,F21:F28,F31:F35,F38:F42)</f>
        <v>2.5130000000000052</v>
      </c>
      <c r="G45" s="47">
        <f>'Income Statement'!G5/1000-SUM(G5:G9,G12:G18,G21:G28,G31:G35,G38:G42)</f>
        <v>1.8000000000000043</v>
      </c>
      <c r="H45" s="26">
        <f>'Income Statement'!H5/1000-SUM(H5:H9,H12:H18,H21:H28,H31:H35,H38:H42)</f>
        <v>2.8230000000000004</v>
      </c>
      <c r="I45" s="26">
        <f>'Income Statement'!I5/1000-SUM(I5:I9,I12:I18,I21:I28,I31:I35,I38:I42)</f>
        <v>3.7809999999999988</v>
      </c>
      <c r="J45" s="26">
        <f>'Income Statement'!J5/1000-SUM(J5:J9,J12:J18,J21:J28,J31:J35,J38:J42)</f>
        <v>5.6199999999999974</v>
      </c>
      <c r="K45" s="26">
        <f>'Income Statement'!K5/1000-SUM(K5:K9,K12:K18,K21:K28,K31:K35,K38:K42)</f>
        <v>7.5819999999999936</v>
      </c>
      <c r="L45" s="26">
        <f>'Income Statement'!L5/1000-SUM(L5:L9,L12:L18,L21:L28,L31:L35,L38:L42)</f>
        <v>9.0049999999999955</v>
      </c>
      <c r="N45" s="29">
        <f t="shared" ref="N45:N46" si="100">RATE(6,,-F45,L45)</f>
        <v>0.23703466939092857</v>
      </c>
      <c r="P45" s="29">
        <f t="shared" ref="P45" si="101">IFERROR(D45/D$46,"NM ")</f>
        <v>0.18632140304579697</v>
      </c>
      <c r="Q45" s="29">
        <f t="shared" ref="Q45" si="102">IFERROR(E45/E$46,"NM ")</f>
        <v>8.1515499425947213E-2</v>
      </c>
      <c r="R45" s="49">
        <f t="shared" ref="R45" si="103">IFERROR(F45/F$46,"NM ")</f>
        <v>9.1338639915676409E-2</v>
      </c>
      <c r="S45" s="52">
        <f t="shared" ref="S45" si="104">IFERROR(G45/G$46,"NM ")</f>
        <v>5.6250000000000133E-2</v>
      </c>
      <c r="T45" s="29">
        <f t="shared" ref="T45" si="105">IFERROR(H45/H$46,"NM ")</f>
        <v>7.6249898711611711E-2</v>
      </c>
      <c r="U45" s="29">
        <f t="shared" ref="U45" si="106">IFERROR(I45/I$46,"NM ")</f>
        <v>8.735934936808297E-2</v>
      </c>
      <c r="V45" s="29">
        <f t="shared" ref="V45" si="107">IFERROR(J45/J$46,"NM ")</f>
        <v>0.11326078194276497</v>
      </c>
      <c r="W45" s="29">
        <f t="shared" ref="W45" si="108">IFERROR(K45/K$46,"NM ")</f>
        <v>0.1332934847579198</v>
      </c>
      <c r="X45" s="29">
        <f t="shared" ref="X45" si="109">IFERROR(L45/L$46,"NM ")</f>
        <v>0.14069213342707595</v>
      </c>
    </row>
    <row r="46" spans="1:24" ht="14.5" customHeight="1" x14ac:dyDescent="0.2">
      <c r="A46" s="9"/>
      <c r="C46" s="9" t="s">
        <v>308</v>
      </c>
      <c r="D46" s="24">
        <f>SUM(D5:D9,D12:D18,D21:D28,D31:D35,D38:D42)+D45</f>
        <v>18.189</v>
      </c>
      <c r="E46" s="24">
        <f t="shared" ref="E46:L46" si="110">SUM(E5:E9,E12:E18,E21:E28,E31:E35,E38:E42)+E45</f>
        <v>20.904</v>
      </c>
      <c r="F46" s="39">
        <f t="shared" si="110"/>
        <v>27.513000000000002</v>
      </c>
      <c r="G46" s="46">
        <f t="shared" si="110"/>
        <v>32</v>
      </c>
      <c r="H46" s="24">
        <f t="shared" si="110"/>
        <v>37.023000000000003</v>
      </c>
      <c r="I46" s="24">
        <f t="shared" si="110"/>
        <v>43.280999999999999</v>
      </c>
      <c r="J46" s="24">
        <f t="shared" si="110"/>
        <v>49.62</v>
      </c>
      <c r="K46" s="24">
        <f t="shared" si="110"/>
        <v>56.881999999999998</v>
      </c>
      <c r="L46" s="24">
        <f t="shared" si="110"/>
        <v>64.004999999999995</v>
      </c>
      <c r="N46" s="32">
        <f t="shared" si="100"/>
        <v>0.15109895315709193</v>
      </c>
      <c r="P46" s="32">
        <f t="shared" ref="P46" si="111">IFERROR(D46/D$46,"NM ")</f>
        <v>1</v>
      </c>
      <c r="Q46" s="32">
        <f t="shared" ref="Q46" si="112">IFERROR(E46/E$46,"NM ")</f>
        <v>1</v>
      </c>
      <c r="R46" s="50">
        <f t="shared" ref="R46" si="113">IFERROR(F46/F$46,"NM ")</f>
        <v>1</v>
      </c>
      <c r="S46" s="53">
        <f t="shared" ref="S46" si="114">IFERROR(G46/G$46,"NM ")</f>
        <v>1</v>
      </c>
      <c r="T46" s="32">
        <f t="shared" ref="T46" si="115">IFERROR(H46/H$46,"NM ")</f>
        <v>1</v>
      </c>
      <c r="U46" s="32">
        <f t="shared" ref="U46" si="116">IFERROR(I46/I$46,"NM ")</f>
        <v>1</v>
      </c>
      <c r="V46" s="32">
        <f t="shared" ref="V46" si="117">IFERROR(J46/J$46,"NM ")</f>
        <v>1</v>
      </c>
      <c r="W46" s="32">
        <f t="shared" ref="W46" si="118">IFERROR(K46/K$46,"NM ")</f>
        <v>1</v>
      </c>
      <c r="X46" s="32">
        <f t="shared" ref="X46" si="119">IFERROR(L46/L$46,"NM ")</f>
        <v>1</v>
      </c>
    </row>
    <row r="47" spans="1:24" ht="10.25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0"/>
  </sheetPr>
  <dimension ref="A1"/>
  <sheetViews>
    <sheetView showGridLines="0" zoomScaleNormal="100" workbookViewId="0"/>
  </sheetViews>
  <sheetFormatPr baseColWidth="10" defaultColWidth="8.83203125" defaultRowHeight="15" x14ac:dyDescent="0.2"/>
  <cols>
    <col min="1" max="1" width="1.5" customWidth="1"/>
  </cols>
  <sheetData>
    <row r="1" ht="10.25" customHeight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G63"/>
  <sheetViews>
    <sheetView showGridLines="0" workbookViewId="0"/>
  </sheetViews>
  <sheetFormatPr baseColWidth="10" defaultColWidth="8.83203125" defaultRowHeight="15" x14ac:dyDescent="0.2"/>
  <cols>
    <col min="1" max="1" width="1.5" customWidth="1"/>
    <col min="2" max="2" width="40.1640625" bestFit="1" customWidth="1"/>
    <col min="3" max="7" width="13.1640625" customWidth="1"/>
    <col min="8" max="8" width="1.5" customWidth="1"/>
  </cols>
  <sheetData>
    <row r="1" spans="2:7" ht="10.25" customHeight="1" x14ac:dyDescent="0.2"/>
    <row r="2" spans="2:7" x14ac:dyDescent="0.2">
      <c r="B2" s="5" t="s">
        <v>309</v>
      </c>
      <c r="C2" s="5"/>
      <c r="D2" s="5"/>
      <c r="E2" s="5"/>
      <c r="F2" s="5"/>
      <c r="G2" s="5"/>
    </row>
    <row r="3" spans="2:7" ht="18" x14ac:dyDescent="0.35">
      <c r="B3" s="22" t="s">
        <v>310</v>
      </c>
      <c r="C3" s="3" t="s">
        <v>311</v>
      </c>
      <c r="D3" s="3" t="s">
        <v>312</v>
      </c>
      <c r="E3" s="3" t="s">
        <v>313</v>
      </c>
      <c r="F3" s="3" t="s">
        <v>314</v>
      </c>
      <c r="G3" s="3" t="s">
        <v>315</v>
      </c>
    </row>
    <row r="4" spans="2:7" ht="5" customHeight="1" x14ac:dyDescent="0.2"/>
    <row r="5" spans="2:7" x14ac:dyDescent="0.2">
      <c r="B5" t="s">
        <v>241</v>
      </c>
      <c r="C5" s="7">
        <v>20904</v>
      </c>
      <c r="D5" s="7">
        <v>27513</v>
      </c>
      <c r="E5" s="6">
        <f>D5-F5+G5</f>
        <v>27683</v>
      </c>
      <c r="F5" s="7">
        <v>15189</v>
      </c>
      <c r="G5" s="7">
        <v>15359</v>
      </c>
    </row>
    <row r="6" spans="2:7" x14ac:dyDescent="0.2">
      <c r="B6" t="s">
        <v>316</v>
      </c>
      <c r="C6" s="7">
        <v>-241</v>
      </c>
      <c r="D6" s="7">
        <v>241</v>
      </c>
      <c r="E6" s="6">
        <f t="shared" ref="E6:E7" si="0">D6-F6+G6</f>
        <v>0</v>
      </c>
      <c r="F6" s="7">
        <v>241</v>
      </c>
      <c r="G6" s="7">
        <v>0</v>
      </c>
    </row>
    <row r="7" spans="2:7" x14ac:dyDescent="0.2">
      <c r="B7" t="s">
        <v>317</v>
      </c>
      <c r="C7" s="14" t="s">
        <v>318</v>
      </c>
      <c r="D7" s="7">
        <v>0</v>
      </c>
      <c r="E7" s="6">
        <f t="shared" si="0"/>
        <v>0</v>
      </c>
      <c r="F7" s="7">
        <v>0</v>
      </c>
      <c r="G7" s="7">
        <v>0</v>
      </c>
    </row>
    <row r="8" spans="2:7" x14ac:dyDescent="0.2">
      <c r="B8" s="9" t="s">
        <v>319</v>
      </c>
      <c r="C8" s="10">
        <f>SUM(C5:C7)</f>
        <v>20663</v>
      </c>
      <c r="D8" s="10">
        <f t="shared" ref="D8:G8" si="1">SUM(D5:D7)</f>
        <v>27754</v>
      </c>
      <c r="E8" s="10">
        <f t="shared" si="1"/>
        <v>27683</v>
      </c>
      <c r="F8" s="10">
        <f t="shared" si="1"/>
        <v>15430</v>
      </c>
      <c r="G8" s="10">
        <f t="shared" si="1"/>
        <v>15359</v>
      </c>
    </row>
    <row r="9" spans="2:7" ht="5" customHeight="1" x14ac:dyDescent="0.2">
      <c r="C9" s="6"/>
      <c r="D9" s="6"/>
      <c r="E9" s="6"/>
      <c r="F9" s="6"/>
      <c r="G9" s="6"/>
    </row>
    <row r="10" spans="2:7" x14ac:dyDescent="0.2">
      <c r="B10" s="9" t="s">
        <v>320</v>
      </c>
      <c r="C10" s="13">
        <v>3651</v>
      </c>
      <c r="D10" s="13">
        <v>3051</v>
      </c>
      <c r="E10" s="12">
        <f t="shared" ref="E10" si="2">D10-F10+G10</f>
        <v>4517</v>
      </c>
      <c r="F10" s="13">
        <v>1117</v>
      </c>
      <c r="G10" s="13">
        <v>2583</v>
      </c>
    </row>
    <row r="11" spans="2:7" x14ac:dyDescent="0.2">
      <c r="B11" s="33" t="s">
        <v>321</v>
      </c>
      <c r="C11" s="28">
        <f>IFERROR(C10/C5,"NM ")</f>
        <v>0.17465556831228474</v>
      </c>
      <c r="D11" s="28">
        <f t="shared" ref="D11:G11" si="3">IFERROR(D10/D5,"NM ")</f>
        <v>0.11089303238469088</v>
      </c>
      <c r="E11" s="28">
        <f t="shared" si="3"/>
        <v>0.1631687317126034</v>
      </c>
      <c r="F11" s="28">
        <f t="shared" si="3"/>
        <v>7.3540061886891828E-2</v>
      </c>
      <c r="G11" s="28">
        <f t="shared" si="3"/>
        <v>0.16817501139397095</v>
      </c>
    </row>
    <row r="12" spans="2:7" ht="5" customHeight="1" x14ac:dyDescent="0.2">
      <c r="C12" s="6"/>
      <c r="D12" s="6"/>
      <c r="E12" s="6"/>
      <c r="F12" s="6"/>
      <c r="G12" s="6"/>
    </row>
    <row r="13" spans="2:7" x14ac:dyDescent="0.2">
      <c r="B13" s="9" t="s">
        <v>322</v>
      </c>
      <c r="C13" s="6"/>
      <c r="D13" s="6"/>
      <c r="E13" s="6"/>
      <c r="F13" s="6"/>
      <c r="G13" s="6"/>
    </row>
    <row r="14" spans="2:7" x14ac:dyDescent="0.2">
      <c r="B14" t="s">
        <v>323</v>
      </c>
      <c r="C14" s="7">
        <v>324</v>
      </c>
      <c r="D14" s="7">
        <v>419</v>
      </c>
      <c r="E14" s="6">
        <f>D14-F14+G14</f>
        <v>481</v>
      </c>
      <c r="F14" s="7">
        <v>-14</v>
      </c>
      <c r="G14" s="7">
        <v>48</v>
      </c>
    </row>
    <row r="15" spans="2:7" x14ac:dyDescent="0.2">
      <c r="B15" t="s">
        <v>324</v>
      </c>
      <c r="C15" s="7">
        <v>88</v>
      </c>
      <c r="D15" s="7">
        <v>1119</v>
      </c>
      <c r="E15" s="6">
        <f t="shared" ref="E15:E27" si="4">D15-F15+G15</f>
        <v>221</v>
      </c>
      <c r="F15" s="7">
        <v>1056</v>
      </c>
      <c r="G15" s="7">
        <v>158</v>
      </c>
    </row>
    <row r="16" spans="2:7" x14ac:dyDescent="0.2">
      <c r="B16" t="s">
        <v>325</v>
      </c>
      <c r="C16" s="7">
        <v>4</v>
      </c>
      <c r="D16" s="7">
        <v>21</v>
      </c>
      <c r="E16" s="6">
        <f t="shared" si="4"/>
        <v>184</v>
      </c>
      <c r="F16" s="7">
        <v>21</v>
      </c>
      <c r="G16" s="7">
        <v>184</v>
      </c>
    </row>
    <row r="17" spans="2:7" x14ac:dyDescent="0.2">
      <c r="B17" t="s">
        <v>326</v>
      </c>
      <c r="C17" s="7">
        <v>0</v>
      </c>
      <c r="D17" s="7">
        <v>0</v>
      </c>
      <c r="E17" s="6">
        <f t="shared" si="4"/>
        <v>150</v>
      </c>
      <c r="F17" s="7">
        <v>0</v>
      </c>
      <c r="G17" s="7">
        <v>150</v>
      </c>
    </row>
    <row r="18" spans="2:7" x14ac:dyDescent="0.2">
      <c r="B18" t="s">
        <v>327</v>
      </c>
      <c r="C18" s="7">
        <v>100</v>
      </c>
      <c r="D18" s="7">
        <v>100</v>
      </c>
      <c r="E18" s="6">
        <f t="shared" si="4"/>
        <v>100</v>
      </c>
      <c r="F18" s="7">
        <v>58</v>
      </c>
      <c r="G18" s="7">
        <v>58</v>
      </c>
    </row>
    <row r="19" spans="2:7" x14ac:dyDescent="0.2">
      <c r="B19" t="s">
        <v>328</v>
      </c>
      <c r="C19" s="7">
        <f>-86</f>
        <v>-86</v>
      </c>
      <c r="D19" s="7">
        <v>-7</v>
      </c>
      <c r="E19" s="6">
        <f t="shared" si="4"/>
        <v>57</v>
      </c>
      <c r="F19" s="7">
        <v>-19</v>
      </c>
      <c r="G19" s="7">
        <v>45</v>
      </c>
    </row>
    <row r="20" spans="2:7" x14ac:dyDescent="0.2">
      <c r="B20" t="s">
        <v>329</v>
      </c>
      <c r="C20" s="7">
        <v>0</v>
      </c>
      <c r="D20" s="7">
        <v>-62</v>
      </c>
      <c r="E20" s="6">
        <f t="shared" si="4"/>
        <v>56</v>
      </c>
      <c r="F20" s="7">
        <v>-34</v>
      </c>
      <c r="G20" s="7">
        <v>84</v>
      </c>
    </row>
    <row r="21" spans="2:7" x14ac:dyDescent="0.2">
      <c r="B21" t="s">
        <v>330</v>
      </c>
      <c r="C21" s="7">
        <v>-4</v>
      </c>
      <c r="D21" s="7">
        <v>-19</v>
      </c>
      <c r="E21" s="6">
        <f t="shared" si="4"/>
        <v>37</v>
      </c>
      <c r="F21" s="7">
        <v>-9</v>
      </c>
      <c r="G21" s="7">
        <v>47</v>
      </c>
    </row>
    <row r="22" spans="2:7" x14ac:dyDescent="0.2">
      <c r="B22" t="s">
        <v>331</v>
      </c>
      <c r="C22" s="7">
        <v>0</v>
      </c>
      <c r="D22" s="7">
        <v>96</v>
      </c>
      <c r="E22" s="6">
        <f t="shared" si="4"/>
        <v>35</v>
      </c>
      <c r="F22" s="7">
        <v>61</v>
      </c>
      <c r="G22" s="7">
        <v>0</v>
      </c>
    </row>
    <row r="23" spans="2:7" x14ac:dyDescent="0.2">
      <c r="B23" t="s">
        <v>332</v>
      </c>
      <c r="C23" s="7">
        <v>0</v>
      </c>
      <c r="D23" s="7">
        <v>67</v>
      </c>
      <c r="E23" s="6">
        <f t="shared" si="4"/>
        <v>34</v>
      </c>
      <c r="F23" s="7">
        <v>33</v>
      </c>
      <c r="G23" s="7">
        <v>0</v>
      </c>
    </row>
    <row r="24" spans="2:7" x14ac:dyDescent="0.2">
      <c r="B24" t="s">
        <v>333</v>
      </c>
      <c r="C24" s="7">
        <v>2</v>
      </c>
      <c r="D24" s="7">
        <v>21</v>
      </c>
      <c r="E24" s="6">
        <f t="shared" si="4"/>
        <v>26</v>
      </c>
      <c r="F24" s="7">
        <v>21</v>
      </c>
      <c r="G24" s="7">
        <v>26</v>
      </c>
    </row>
    <row r="25" spans="2:7" x14ac:dyDescent="0.2">
      <c r="B25" t="s">
        <v>334</v>
      </c>
      <c r="C25" s="7">
        <v>-17</v>
      </c>
      <c r="D25" s="7">
        <v>-4</v>
      </c>
      <c r="E25" s="6">
        <f t="shared" si="4"/>
        <v>7</v>
      </c>
      <c r="F25" s="7">
        <v>-2</v>
      </c>
      <c r="G25" s="7">
        <v>9</v>
      </c>
    </row>
    <row r="26" spans="2:7" x14ac:dyDescent="0.2">
      <c r="B26" t="s">
        <v>335</v>
      </c>
      <c r="C26" s="7">
        <v>55</v>
      </c>
      <c r="D26" s="7">
        <v>460</v>
      </c>
      <c r="E26" s="6">
        <f t="shared" si="4"/>
        <v>0</v>
      </c>
      <c r="F26" s="7">
        <v>460</v>
      </c>
      <c r="G26" s="7">
        <v>0</v>
      </c>
    </row>
    <row r="27" spans="2:7" x14ac:dyDescent="0.2">
      <c r="B27" t="s">
        <v>336</v>
      </c>
      <c r="C27" s="7">
        <v>-175</v>
      </c>
      <c r="D27" s="7">
        <v>0</v>
      </c>
      <c r="E27" s="6">
        <f t="shared" si="4"/>
        <v>0</v>
      </c>
      <c r="F27" s="7">
        <v>0</v>
      </c>
      <c r="G27" s="7">
        <v>0</v>
      </c>
    </row>
    <row r="28" spans="2:7" x14ac:dyDescent="0.2">
      <c r="B28" s="9" t="s">
        <v>337</v>
      </c>
      <c r="C28" s="10">
        <f>SUM(C14:C27)</f>
        <v>291</v>
      </c>
      <c r="D28" s="10">
        <f t="shared" ref="D28:G28" si="5">SUM(D14:D27)</f>
        <v>2211</v>
      </c>
      <c r="E28" s="10">
        <f t="shared" si="5"/>
        <v>1388</v>
      </c>
      <c r="F28" s="10">
        <f t="shared" si="5"/>
        <v>1632</v>
      </c>
      <c r="G28" s="10">
        <f t="shared" si="5"/>
        <v>809</v>
      </c>
    </row>
    <row r="29" spans="2:7" ht="5" customHeight="1" x14ac:dyDescent="0.2">
      <c r="C29" s="6"/>
      <c r="D29" s="6"/>
      <c r="E29" s="6"/>
      <c r="F29" s="6"/>
      <c r="G29" s="6"/>
    </row>
    <row r="30" spans="2:7" x14ac:dyDescent="0.2">
      <c r="B30" s="9" t="s">
        <v>338</v>
      </c>
      <c r="C30" s="10">
        <f>SUM(C10,C28)</f>
        <v>3942</v>
      </c>
      <c r="D30" s="10">
        <f t="shared" ref="D30:G30" si="6">SUM(D10,D28)</f>
        <v>5262</v>
      </c>
      <c r="E30" s="10">
        <f t="shared" si="6"/>
        <v>5905</v>
      </c>
      <c r="F30" s="10">
        <f t="shared" si="6"/>
        <v>2749</v>
      </c>
      <c r="G30" s="10">
        <f t="shared" si="6"/>
        <v>3392</v>
      </c>
    </row>
    <row r="31" spans="2:7" x14ac:dyDescent="0.2">
      <c r="B31" s="33" t="s">
        <v>339</v>
      </c>
      <c r="C31" s="28">
        <f>IFERROR(C30/C$8,"NM ")</f>
        <v>0.19077578280017424</v>
      </c>
      <c r="D31" s="28">
        <f t="shared" ref="D31:G31" si="7">IFERROR(D30/D$8,"NM ")</f>
        <v>0.18959429271456366</v>
      </c>
      <c r="E31" s="28">
        <f t="shared" si="7"/>
        <v>0.21330780623487339</v>
      </c>
      <c r="F31" s="28">
        <f t="shared" si="7"/>
        <v>0.17815942968243681</v>
      </c>
      <c r="G31" s="28">
        <f t="shared" si="7"/>
        <v>0.22084771143954685</v>
      </c>
    </row>
    <row r="32" spans="2:7" ht="5" customHeight="1" x14ac:dyDescent="0.2">
      <c r="C32" s="6"/>
      <c r="D32" s="6"/>
      <c r="E32" s="6"/>
      <c r="F32" s="6"/>
      <c r="G32" s="6"/>
    </row>
    <row r="33" spans="2:7" x14ac:dyDescent="0.2">
      <c r="B33" s="9" t="s">
        <v>340</v>
      </c>
      <c r="C33" s="6"/>
      <c r="D33" s="6"/>
      <c r="E33" s="6"/>
      <c r="F33" s="6"/>
      <c r="G33" s="6"/>
    </row>
    <row r="34" spans="2:7" x14ac:dyDescent="0.2">
      <c r="B34" t="s">
        <v>341</v>
      </c>
      <c r="C34" s="7">
        <v>17</v>
      </c>
      <c r="D34" s="7">
        <v>-12</v>
      </c>
      <c r="E34" s="6">
        <f>D34-F34+G34</f>
        <v>-201</v>
      </c>
      <c r="F34" s="7">
        <v>4</v>
      </c>
      <c r="G34" s="7">
        <v>-185</v>
      </c>
    </row>
    <row r="35" spans="2:7" x14ac:dyDescent="0.2">
      <c r="B35" t="s">
        <v>342</v>
      </c>
      <c r="C35" s="7">
        <v>-40</v>
      </c>
      <c r="D35" s="7">
        <v>-80</v>
      </c>
      <c r="E35" s="6">
        <f t="shared" ref="E35:E44" si="8">D35-F35+G35</f>
        <v>-80</v>
      </c>
      <c r="F35" s="7">
        <v>-47</v>
      </c>
      <c r="G35" s="7">
        <v>-47</v>
      </c>
    </row>
    <row r="36" spans="2:7" x14ac:dyDescent="0.2">
      <c r="B36" t="s">
        <v>343</v>
      </c>
      <c r="C36" s="7">
        <v>0</v>
      </c>
      <c r="D36" s="7">
        <v>-162</v>
      </c>
      <c r="E36" s="6">
        <f t="shared" si="8"/>
        <v>-59</v>
      </c>
      <c r="F36" s="7">
        <v>-103</v>
      </c>
      <c r="G36" s="7">
        <v>0</v>
      </c>
    </row>
    <row r="37" spans="2:7" x14ac:dyDescent="0.2">
      <c r="B37" t="s">
        <v>344</v>
      </c>
      <c r="C37" s="7">
        <v>0</v>
      </c>
      <c r="D37" s="7">
        <v>-17</v>
      </c>
      <c r="E37" s="6">
        <f t="shared" si="8"/>
        <v>49</v>
      </c>
      <c r="F37" s="7">
        <v>-17</v>
      </c>
      <c r="G37" s="7">
        <v>49</v>
      </c>
    </row>
    <row r="38" spans="2:7" x14ac:dyDescent="0.2">
      <c r="B38" t="s">
        <v>345</v>
      </c>
      <c r="C38" s="7">
        <v>-18</v>
      </c>
      <c r="D38" s="7">
        <v>-17</v>
      </c>
      <c r="E38" s="6">
        <f t="shared" si="8"/>
        <v>-40</v>
      </c>
      <c r="F38" s="7">
        <v>-28</v>
      </c>
      <c r="G38" s="7">
        <v>-51</v>
      </c>
    </row>
    <row r="39" spans="2:7" x14ac:dyDescent="0.2">
      <c r="B39" t="s">
        <v>346</v>
      </c>
      <c r="C39" s="7">
        <v>-41</v>
      </c>
      <c r="D39" s="7">
        <v>-55</v>
      </c>
      <c r="E39" s="6">
        <f t="shared" si="8"/>
        <v>38</v>
      </c>
      <c r="F39" s="7">
        <v>-31</v>
      </c>
      <c r="G39" s="7">
        <v>62</v>
      </c>
    </row>
    <row r="40" spans="2:7" x14ac:dyDescent="0.2">
      <c r="B40" t="s">
        <v>347</v>
      </c>
      <c r="C40" s="7">
        <v>-114</v>
      </c>
      <c r="D40" s="7">
        <v>114</v>
      </c>
      <c r="E40" s="6">
        <f t="shared" si="8"/>
        <v>0</v>
      </c>
      <c r="F40" s="7">
        <v>114</v>
      </c>
      <c r="G40" s="7">
        <v>0</v>
      </c>
    </row>
    <row r="41" spans="2:7" x14ac:dyDescent="0.2">
      <c r="B41" t="s">
        <v>348</v>
      </c>
      <c r="C41" s="14" t="s">
        <v>349</v>
      </c>
      <c r="D41" s="14" t="s">
        <v>349</v>
      </c>
      <c r="E41" s="63" t="s">
        <v>349</v>
      </c>
      <c r="F41" s="14" t="s">
        <v>349</v>
      </c>
      <c r="G41" s="14" t="s">
        <v>349</v>
      </c>
    </row>
    <row r="42" spans="2:7" x14ac:dyDescent="0.2">
      <c r="B42" t="s">
        <v>350</v>
      </c>
      <c r="C42" s="14" t="s">
        <v>318</v>
      </c>
      <c r="D42" s="14" t="s">
        <v>318</v>
      </c>
      <c r="E42" s="63" t="s">
        <v>318</v>
      </c>
      <c r="F42" s="14" t="s">
        <v>318</v>
      </c>
      <c r="G42" s="14" t="s">
        <v>318</v>
      </c>
    </row>
    <row r="43" spans="2:7" x14ac:dyDescent="0.2">
      <c r="B43" t="s">
        <v>351</v>
      </c>
      <c r="C43" s="7">
        <v>0</v>
      </c>
      <c r="D43" s="7">
        <v>0</v>
      </c>
      <c r="E43" s="63" t="s">
        <v>318</v>
      </c>
      <c r="F43" s="14" t="s">
        <v>318</v>
      </c>
      <c r="G43" s="7">
        <v>0</v>
      </c>
    </row>
    <row r="44" spans="2:7" x14ac:dyDescent="0.2">
      <c r="B44" t="s">
        <v>352</v>
      </c>
      <c r="C44" s="14" t="s">
        <v>318</v>
      </c>
      <c r="D44" s="7">
        <v>0</v>
      </c>
      <c r="E44" s="6">
        <f t="shared" si="8"/>
        <v>0</v>
      </c>
      <c r="F44" s="7">
        <v>0</v>
      </c>
      <c r="G44" s="7">
        <v>0</v>
      </c>
    </row>
    <row r="45" spans="2:7" x14ac:dyDescent="0.2">
      <c r="B45" s="9" t="s">
        <v>353</v>
      </c>
      <c r="C45" s="10">
        <f>SUM(C34:C44)</f>
        <v>-196</v>
      </c>
      <c r="D45" s="10">
        <f>SUM(D34:D44)</f>
        <v>-229</v>
      </c>
      <c r="E45" s="10">
        <f>SUM(E34:E44)</f>
        <v>-293</v>
      </c>
      <c r="F45" s="10">
        <f>SUM(F34:F44)</f>
        <v>-108</v>
      </c>
      <c r="G45" s="10">
        <f>SUM(G34:G44)</f>
        <v>-172</v>
      </c>
    </row>
    <row r="46" spans="2:7" ht="5" customHeight="1" x14ac:dyDescent="0.2">
      <c r="C46" s="6"/>
      <c r="D46" s="6"/>
      <c r="E46" s="6"/>
      <c r="F46" s="6"/>
      <c r="G46" s="6"/>
    </row>
    <row r="47" spans="2:7" x14ac:dyDescent="0.2">
      <c r="B47" s="9" t="s">
        <v>354</v>
      </c>
      <c r="C47" s="10">
        <f>SUM(C30,C45)</f>
        <v>3746</v>
      </c>
      <c r="D47" s="10">
        <f t="shared" ref="D47:G47" si="9">SUM(D30,D45)</f>
        <v>5033</v>
      </c>
      <c r="E47" s="10">
        <f t="shared" si="9"/>
        <v>5612</v>
      </c>
      <c r="F47" s="10">
        <f t="shared" si="9"/>
        <v>2641</v>
      </c>
      <c r="G47" s="10">
        <f t="shared" si="9"/>
        <v>3220</v>
      </c>
    </row>
    <row r="48" spans="2:7" x14ac:dyDescent="0.2">
      <c r="B48" s="9" t="s">
        <v>355</v>
      </c>
      <c r="C48" s="28">
        <f>IFERROR(C47/C$8,"NM ")</f>
        <v>0.18129022891158109</v>
      </c>
      <c r="D48" s="28">
        <f t="shared" ref="D48" si="10">IFERROR(D47/D$8,"NM ")</f>
        <v>0.18134322980471285</v>
      </c>
      <c r="E48" s="28">
        <f t="shared" ref="E48" si="11">IFERROR(E47/E$8,"NM ")</f>
        <v>0.20272369324133946</v>
      </c>
      <c r="F48" s="28">
        <f t="shared" ref="F48" si="12">IFERROR(F47/F$8,"NM ")</f>
        <v>0.17116007777057679</v>
      </c>
      <c r="G48" s="28">
        <f t="shared" ref="G48" si="13">IFERROR(G47/G$8,"NM ")</f>
        <v>0.20964906569438113</v>
      </c>
    </row>
    <row r="49" spans="2:7" ht="5" customHeight="1" x14ac:dyDescent="0.2">
      <c r="C49" s="6"/>
      <c r="D49" s="6"/>
      <c r="E49" s="6"/>
      <c r="F49" s="6"/>
      <c r="G49" s="6"/>
    </row>
    <row r="50" spans="2:7" x14ac:dyDescent="0.2">
      <c r="B50" s="9" t="s">
        <v>356</v>
      </c>
      <c r="C50" s="6"/>
      <c r="D50" s="6"/>
      <c r="E50" s="6"/>
      <c r="F50" s="6"/>
      <c r="G50" s="6"/>
    </row>
    <row r="51" spans="2:7" x14ac:dyDescent="0.2">
      <c r="B51" t="s">
        <v>357</v>
      </c>
      <c r="C51" s="7">
        <v>-118</v>
      </c>
      <c r="D51" s="7">
        <v>-86</v>
      </c>
      <c r="E51" s="6">
        <f t="shared" ref="E51" si="14">D51-F51+G51</f>
        <v>-280</v>
      </c>
      <c r="F51" s="7">
        <v>-26</v>
      </c>
      <c r="G51" s="7">
        <v>-220</v>
      </c>
    </row>
    <row r="52" spans="2:7" x14ac:dyDescent="0.2">
      <c r="B52" t="s">
        <v>358</v>
      </c>
      <c r="C52" s="14" t="s">
        <v>318</v>
      </c>
      <c r="D52" s="14" t="s">
        <v>318</v>
      </c>
      <c r="E52" s="63" t="s">
        <v>318</v>
      </c>
      <c r="F52" s="14" t="s">
        <v>318</v>
      </c>
      <c r="G52" s="14" t="s">
        <v>318</v>
      </c>
    </row>
    <row r="53" spans="2:7" x14ac:dyDescent="0.2">
      <c r="B53" t="s">
        <v>359</v>
      </c>
      <c r="C53" s="14" t="s">
        <v>349</v>
      </c>
      <c r="D53" s="14" t="s">
        <v>349</v>
      </c>
      <c r="E53" s="63" t="s">
        <v>349</v>
      </c>
      <c r="F53" s="14" t="s">
        <v>349</v>
      </c>
      <c r="G53" s="14" t="s">
        <v>349</v>
      </c>
    </row>
    <row r="54" spans="2:7" x14ac:dyDescent="0.2">
      <c r="B54" s="9" t="s">
        <v>360</v>
      </c>
      <c r="C54" s="10">
        <f>SUM(C51:C53)</f>
        <v>-118</v>
      </c>
      <c r="D54" s="10">
        <f>SUM(D51:D53)</f>
        <v>-86</v>
      </c>
      <c r="E54" s="10">
        <f>SUM(E51:E53)</f>
        <v>-280</v>
      </c>
      <c r="F54" s="10">
        <f t="shared" ref="F54:G54" si="15">SUM(F51:F53)</f>
        <v>-26</v>
      </c>
      <c r="G54" s="10">
        <f t="shared" si="15"/>
        <v>-220</v>
      </c>
    </row>
    <row r="55" spans="2:7" ht="5" customHeight="1" x14ac:dyDescent="0.2">
      <c r="C55" s="6"/>
      <c r="D55" s="6"/>
      <c r="E55" s="6"/>
      <c r="F55" s="6"/>
      <c r="G55" s="6"/>
    </row>
    <row r="56" spans="2:7" x14ac:dyDescent="0.2">
      <c r="B56" s="9" t="s">
        <v>361</v>
      </c>
      <c r="C56" s="10">
        <f>SUM(C47,C54)</f>
        <v>3628</v>
      </c>
      <c r="D56" s="10">
        <f t="shared" ref="D56:G56" si="16">SUM(D47,D54)</f>
        <v>4947</v>
      </c>
      <c r="E56" s="10">
        <f t="shared" si="16"/>
        <v>5332</v>
      </c>
      <c r="F56" s="10">
        <f t="shared" si="16"/>
        <v>2615</v>
      </c>
      <c r="G56" s="10">
        <f t="shared" si="16"/>
        <v>3000</v>
      </c>
    </row>
    <row r="57" spans="2:7" x14ac:dyDescent="0.2">
      <c r="B57" s="9" t="s">
        <v>362</v>
      </c>
      <c r="C57" s="28">
        <f>IFERROR(C56/C$8,"NM ")</f>
        <v>0.17557953830518319</v>
      </c>
      <c r="D57" s="28">
        <f t="shared" ref="D57" si="17">IFERROR(D56/D$8,"NM ")</f>
        <v>0.17824457735821864</v>
      </c>
      <c r="E57" s="28">
        <f t="shared" ref="E57" si="18">IFERROR(E56/E$8,"NM ")</f>
        <v>0.19260918253079506</v>
      </c>
      <c r="F57" s="28">
        <f t="shared" ref="F57" si="19">IFERROR(F56/F$8,"NM ")</f>
        <v>0.1694750486066105</v>
      </c>
      <c r="G57" s="28">
        <f t="shared" ref="G57" si="20">IFERROR(G56/G$8,"NM ")</f>
        <v>0.19532521648544826</v>
      </c>
    </row>
    <row r="58" spans="2:7" ht="5" customHeight="1" x14ac:dyDescent="0.2">
      <c r="C58" s="6"/>
      <c r="D58" s="6"/>
      <c r="E58" s="6"/>
      <c r="F58" s="6"/>
      <c r="G58" s="6"/>
    </row>
    <row r="59" spans="2:7" x14ac:dyDescent="0.2">
      <c r="B59" s="9" t="s">
        <v>363</v>
      </c>
      <c r="C59" s="6"/>
      <c r="D59" s="6"/>
      <c r="E59" s="6"/>
      <c r="F59" s="6"/>
      <c r="G59" s="6"/>
    </row>
    <row r="60" spans="2:7" x14ac:dyDescent="0.2">
      <c r="B60" t="s">
        <v>364</v>
      </c>
      <c r="C60" s="7">
        <v>-88</v>
      </c>
      <c r="D60" s="7">
        <v>-36</v>
      </c>
      <c r="E60" s="6">
        <f t="shared" ref="E60" si="21">D60-F60+G60</f>
        <v>-221</v>
      </c>
      <c r="F60" s="7">
        <v>27</v>
      </c>
      <c r="G60" s="7">
        <v>-158</v>
      </c>
    </row>
    <row r="61" spans="2:7" x14ac:dyDescent="0.2">
      <c r="B61" t="s">
        <v>365</v>
      </c>
      <c r="C61" s="14" t="s">
        <v>318</v>
      </c>
      <c r="D61" s="14" t="s">
        <v>318</v>
      </c>
      <c r="E61" s="63" t="s">
        <v>318</v>
      </c>
      <c r="F61" s="14" t="s">
        <v>318</v>
      </c>
      <c r="G61" s="14" t="s">
        <v>318</v>
      </c>
    </row>
    <row r="62" spans="2:7" x14ac:dyDescent="0.2">
      <c r="B62" t="s">
        <v>366</v>
      </c>
      <c r="C62" s="14" t="s">
        <v>318</v>
      </c>
      <c r="D62" s="14" t="s">
        <v>318</v>
      </c>
      <c r="E62" s="63" t="s">
        <v>318</v>
      </c>
      <c r="F62" s="14" t="s">
        <v>318</v>
      </c>
      <c r="G62" s="14" t="s">
        <v>318</v>
      </c>
    </row>
    <row r="63" spans="2:7" ht="10.25" customHeigh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1:D43"/>
  <sheetViews>
    <sheetView showGridLines="0" topLeftCell="A3" workbookViewId="0">
      <selection activeCell="I35" sqref="I35"/>
    </sheetView>
  </sheetViews>
  <sheetFormatPr baseColWidth="10" defaultColWidth="8.83203125" defaultRowHeight="15" x14ac:dyDescent="0.2"/>
  <cols>
    <col min="1" max="1" width="1.5" customWidth="1"/>
    <col min="2" max="2" width="56.1640625" bestFit="1" customWidth="1"/>
    <col min="3" max="4" width="13.1640625" customWidth="1"/>
    <col min="5" max="5" width="1.5" customWidth="1"/>
  </cols>
  <sheetData>
    <row r="1" spans="2:4" ht="10.25" customHeight="1" x14ac:dyDescent="0.2"/>
    <row r="2" spans="2:4" x14ac:dyDescent="0.2">
      <c r="B2" s="5" t="s">
        <v>367</v>
      </c>
      <c r="C2" s="5"/>
      <c r="D2" s="5"/>
    </row>
    <row r="3" spans="2:4" ht="18" x14ac:dyDescent="0.35">
      <c r="B3" s="22" t="s">
        <v>310</v>
      </c>
      <c r="C3" s="54">
        <v>43100</v>
      </c>
      <c r="D3" s="54">
        <v>43312</v>
      </c>
    </row>
    <row r="4" spans="2:4" ht="5" customHeight="1" x14ac:dyDescent="0.2"/>
    <row r="5" spans="2:4" x14ac:dyDescent="0.2">
      <c r="B5" t="s">
        <v>368</v>
      </c>
      <c r="C5" s="7">
        <v>21707</v>
      </c>
      <c r="D5" s="7">
        <v>21911</v>
      </c>
    </row>
    <row r="6" spans="2:4" x14ac:dyDescent="0.2">
      <c r="B6" t="s">
        <v>369</v>
      </c>
      <c r="C6" s="7">
        <v>6163</v>
      </c>
      <c r="D6" s="7">
        <v>5691</v>
      </c>
    </row>
    <row r="7" spans="2:4" x14ac:dyDescent="0.2">
      <c r="B7" s="9" t="s">
        <v>370</v>
      </c>
      <c r="C7" s="58">
        <f>C5-C6</f>
        <v>15544</v>
      </c>
      <c r="D7" s="58">
        <f>D5-D6</f>
        <v>16220</v>
      </c>
    </row>
    <row r="8" spans="2:4" ht="5" customHeight="1" x14ac:dyDescent="0.2">
      <c r="C8" s="7"/>
      <c r="D8" s="7"/>
    </row>
    <row r="9" spans="2:4" x14ac:dyDescent="0.2">
      <c r="B9" s="18" t="s">
        <v>371</v>
      </c>
      <c r="C9" s="7"/>
      <c r="D9" s="7"/>
    </row>
    <row r="10" spans="2:4" x14ac:dyDescent="0.2">
      <c r="B10" t="s">
        <v>372</v>
      </c>
      <c r="C10" s="7">
        <v>1853</v>
      </c>
      <c r="D10" s="7">
        <v>2000</v>
      </c>
    </row>
    <row r="11" spans="2:4" x14ac:dyDescent="0.2">
      <c r="B11" t="s">
        <v>373</v>
      </c>
      <c r="C11" s="7">
        <v>1386</v>
      </c>
      <c r="D11" s="7">
        <v>1306</v>
      </c>
    </row>
    <row r="12" spans="2:4" x14ac:dyDescent="0.2">
      <c r="B12" t="s">
        <v>374</v>
      </c>
      <c r="C12" s="7">
        <v>0</v>
      </c>
      <c r="D12" s="7">
        <v>100</v>
      </c>
    </row>
    <row r="13" spans="2:4" ht="5" customHeight="1" x14ac:dyDescent="0.2">
      <c r="C13" s="7"/>
      <c r="D13" s="7"/>
    </row>
    <row r="14" spans="2:4" x14ac:dyDescent="0.2">
      <c r="B14" s="18" t="s">
        <v>375</v>
      </c>
      <c r="C14" s="7"/>
      <c r="D14" s="7"/>
    </row>
    <row r="15" spans="2:4" x14ac:dyDescent="0.2">
      <c r="B15" t="s">
        <v>376</v>
      </c>
      <c r="C15" s="7">
        <v>-217</v>
      </c>
      <c r="D15" s="7">
        <v>-418</v>
      </c>
    </row>
    <row r="16" spans="2:4" x14ac:dyDescent="0.2">
      <c r="B16" t="s">
        <v>377</v>
      </c>
      <c r="C16" s="7">
        <v>-379</v>
      </c>
      <c r="D16" s="7">
        <v>-379</v>
      </c>
    </row>
    <row r="17" spans="2:4" ht="5" customHeight="1" x14ac:dyDescent="0.2">
      <c r="C17" s="7"/>
      <c r="D17" s="7"/>
    </row>
    <row r="18" spans="2:4" x14ac:dyDescent="0.2">
      <c r="B18" s="9" t="s">
        <v>378</v>
      </c>
      <c r="C18" s="58">
        <f>SUM(C7,C10:C12,C15:C16)</f>
        <v>18187</v>
      </c>
      <c r="D18" s="58">
        <f>SUM(D7,D10:D12,D15:D16)</f>
        <v>18829</v>
      </c>
    </row>
    <row r="19" spans="2:4" ht="5" customHeight="1" x14ac:dyDescent="0.2">
      <c r="C19" s="7"/>
      <c r="D19" s="7"/>
    </row>
    <row r="20" spans="2:4" x14ac:dyDescent="0.2">
      <c r="B20" s="9" t="s">
        <v>340</v>
      </c>
      <c r="C20" s="7"/>
      <c r="D20" s="7"/>
    </row>
    <row r="21" spans="2:4" x14ac:dyDescent="0.2">
      <c r="B21" t="s">
        <v>379</v>
      </c>
      <c r="C21" s="14" t="s">
        <v>318</v>
      </c>
      <c r="D21" s="14" t="s">
        <v>318</v>
      </c>
    </row>
    <row r="22" spans="2:4" x14ac:dyDescent="0.2">
      <c r="B22" t="s">
        <v>380</v>
      </c>
      <c r="C22" s="7">
        <v>-76</v>
      </c>
      <c r="D22" s="7">
        <v>-127</v>
      </c>
    </row>
    <row r="23" spans="2:4" x14ac:dyDescent="0.2">
      <c r="B23" t="s">
        <v>381</v>
      </c>
      <c r="C23" s="7">
        <v>-96</v>
      </c>
      <c r="D23" s="7">
        <v>-34</v>
      </c>
    </row>
    <row r="24" spans="2:4" x14ac:dyDescent="0.2">
      <c r="B24" t="s">
        <v>382</v>
      </c>
      <c r="C24" s="14" t="s">
        <v>318</v>
      </c>
      <c r="D24" s="14" t="s">
        <v>318</v>
      </c>
    </row>
    <row r="25" spans="2:4" ht="14.5" customHeight="1" x14ac:dyDescent="0.2">
      <c r="B25" t="s">
        <v>383</v>
      </c>
      <c r="C25" s="14" t="s">
        <v>318</v>
      </c>
      <c r="D25" s="14" t="s">
        <v>318</v>
      </c>
    </row>
    <row r="26" spans="2:4" ht="14.5" customHeight="1" x14ac:dyDescent="0.2">
      <c r="B26" s="9" t="s">
        <v>384</v>
      </c>
      <c r="C26" s="58">
        <f>SUM(C21:C25)</f>
        <v>-172</v>
      </c>
      <c r="D26" s="58">
        <f>SUM(D21:D25)</f>
        <v>-161</v>
      </c>
    </row>
    <row r="27" spans="2:4" ht="5" customHeight="1" x14ac:dyDescent="0.2">
      <c r="C27" s="7"/>
      <c r="D27" s="7"/>
    </row>
    <row r="28" spans="2:4" x14ac:dyDescent="0.2">
      <c r="B28" s="9" t="s">
        <v>385</v>
      </c>
      <c r="C28" s="58">
        <f>SUM(C18,C26)</f>
        <v>18015</v>
      </c>
      <c r="D28" s="58">
        <f>SUM(D18,D26)</f>
        <v>18668</v>
      </c>
    </row>
    <row r="29" spans="2:4" x14ac:dyDescent="0.2">
      <c r="B29" s="33" t="s">
        <v>386</v>
      </c>
      <c r="C29" s="68">
        <f>C28/QofE!D5</f>
        <v>0.65478137607676368</v>
      </c>
      <c r="D29" s="67">
        <v>0.60799999999999998</v>
      </c>
    </row>
    <row r="30" spans="2:4" ht="5" customHeight="1" x14ac:dyDescent="0.2">
      <c r="C30" s="7"/>
      <c r="D30" s="7"/>
    </row>
    <row r="31" spans="2:4" x14ac:dyDescent="0.2">
      <c r="B31" s="9" t="s">
        <v>387</v>
      </c>
      <c r="C31" s="7"/>
      <c r="D31" s="7"/>
    </row>
    <row r="32" spans="2:4" x14ac:dyDescent="0.2">
      <c r="B32" t="s">
        <v>388</v>
      </c>
      <c r="C32" s="7">
        <v>2809</v>
      </c>
      <c r="D32" s="7">
        <v>2602</v>
      </c>
    </row>
    <row r="33" spans="2:4" x14ac:dyDescent="0.2">
      <c r="B33" t="s">
        <v>389</v>
      </c>
      <c r="C33" s="7">
        <v>1050</v>
      </c>
      <c r="D33" s="7">
        <v>1068</v>
      </c>
    </row>
    <row r="34" spans="2:4" x14ac:dyDescent="0.2">
      <c r="B34" t="s">
        <v>390</v>
      </c>
      <c r="C34" s="7">
        <v>251</v>
      </c>
      <c r="D34" s="7">
        <v>70</v>
      </c>
    </row>
    <row r="35" spans="2:4" x14ac:dyDescent="0.2">
      <c r="B35" t="s">
        <v>391</v>
      </c>
      <c r="C35" s="7">
        <v>35</v>
      </c>
      <c r="D35" s="7">
        <v>50</v>
      </c>
    </row>
    <row r="36" spans="2:4" x14ac:dyDescent="0.2">
      <c r="B36" t="s">
        <v>392</v>
      </c>
      <c r="C36" s="7">
        <v>69</v>
      </c>
      <c r="D36" s="7">
        <v>41</v>
      </c>
    </row>
    <row r="37" spans="2:4" x14ac:dyDescent="0.2">
      <c r="B37" t="s">
        <v>393</v>
      </c>
      <c r="C37" s="7">
        <v>61</v>
      </c>
      <c r="D37" s="7">
        <v>23</v>
      </c>
    </row>
    <row r="38" spans="2:4" x14ac:dyDescent="0.2">
      <c r="B38" t="s">
        <v>394</v>
      </c>
      <c r="C38" s="7">
        <v>29</v>
      </c>
      <c r="D38" s="7">
        <v>22</v>
      </c>
    </row>
    <row r="39" spans="2:4" x14ac:dyDescent="0.2">
      <c r="B39" t="s">
        <v>395</v>
      </c>
      <c r="C39" s="14" t="s">
        <v>318</v>
      </c>
      <c r="D39" s="14" t="s">
        <v>318</v>
      </c>
    </row>
    <row r="40" spans="2:4" x14ac:dyDescent="0.2">
      <c r="B40" s="9" t="s">
        <v>396</v>
      </c>
      <c r="C40" s="58">
        <f>SUM(C32:C39)</f>
        <v>4304</v>
      </c>
      <c r="D40" s="58">
        <f>SUM(D32:D39)</f>
        <v>3876</v>
      </c>
    </row>
    <row r="41" spans="2:4" ht="5" customHeight="1" x14ac:dyDescent="0.2">
      <c r="C41" s="7"/>
      <c r="D41" s="7"/>
    </row>
    <row r="42" spans="2:4" x14ac:dyDescent="0.2">
      <c r="B42" s="9" t="s">
        <v>397</v>
      </c>
      <c r="C42" s="58">
        <f>C28-C40</f>
        <v>13711</v>
      </c>
      <c r="D42" s="58">
        <f>D28-D40</f>
        <v>14792</v>
      </c>
    </row>
    <row r="43" spans="2:4" ht="10.25" customHeight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1:R18"/>
  <sheetViews>
    <sheetView showGridLines="0" workbookViewId="0">
      <selection activeCell="I31" sqref="I31"/>
    </sheetView>
  </sheetViews>
  <sheetFormatPr baseColWidth="10" defaultColWidth="8.83203125" defaultRowHeight="15" x14ac:dyDescent="0.2"/>
  <cols>
    <col min="1" max="1" width="1.5" customWidth="1"/>
    <col min="2" max="2" width="24" bestFit="1" customWidth="1"/>
    <col min="3" max="14" width="13.1640625" customWidth="1"/>
    <col min="15" max="15" width="1.5" customWidth="1"/>
    <col min="16" max="18" width="13.1640625" customWidth="1"/>
    <col min="19" max="19" width="1.5" customWidth="1"/>
  </cols>
  <sheetData>
    <row r="1" spans="2:18" ht="10.25" customHeight="1" x14ac:dyDescent="0.2"/>
    <row r="2" spans="2:18" ht="18" x14ac:dyDescent="0.35">
      <c r="B2" s="5" t="s">
        <v>398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P2" s="56" t="s">
        <v>399</v>
      </c>
      <c r="Q2" s="56"/>
      <c r="R2" s="56"/>
    </row>
    <row r="3" spans="2:18" ht="18" x14ac:dyDescent="0.35">
      <c r="B3" s="22" t="s">
        <v>310</v>
      </c>
      <c r="C3" s="55">
        <v>42978</v>
      </c>
      <c r="D3" s="55">
        <f>EOMONTH(C3,1)</f>
        <v>43008</v>
      </c>
      <c r="E3" s="55">
        <f t="shared" ref="E3:M3" si="0">EOMONTH(D3,1)</f>
        <v>43039</v>
      </c>
      <c r="F3" s="55">
        <f t="shared" si="0"/>
        <v>43069</v>
      </c>
      <c r="G3" s="55">
        <f t="shared" si="0"/>
        <v>43100</v>
      </c>
      <c r="H3" s="55">
        <f t="shared" si="0"/>
        <v>43131</v>
      </c>
      <c r="I3" s="55">
        <f t="shared" si="0"/>
        <v>43159</v>
      </c>
      <c r="J3" s="55">
        <f t="shared" si="0"/>
        <v>43190</v>
      </c>
      <c r="K3" s="55">
        <f t="shared" si="0"/>
        <v>43220</v>
      </c>
      <c r="L3" s="55">
        <f t="shared" si="0"/>
        <v>43251</v>
      </c>
      <c r="M3" s="55">
        <f t="shared" si="0"/>
        <v>43281</v>
      </c>
      <c r="N3" s="55">
        <f t="shared" ref="N3" si="1">EOMONTH(M3,1)</f>
        <v>43312</v>
      </c>
      <c r="P3" s="55" t="s">
        <v>400</v>
      </c>
      <c r="Q3" s="55" t="s">
        <v>401</v>
      </c>
      <c r="R3" s="55" t="s">
        <v>402</v>
      </c>
    </row>
    <row r="4" spans="2:18" ht="5" customHeight="1" x14ac:dyDescent="0.2"/>
    <row r="5" spans="2:18" x14ac:dyDescent="0.2">
      <c r="B5" s="9" t="s">
        <v>368</v>
      </c>
    </row>
    <row r="6" spans="2:18" x14ac:dyDescent="0.2">
      <c r="B6" t="s">
        <v>403</v>
      </c>
      <c r="C6" s="7">
        <v>4098</v>
      </c>
      <c r="D6" s="7">
        <v>4349</v>
      </c>
      <c r="E6" s="7">
        <v>3929</v>
      </c>
      <c r="F6" s="7">
        <v>4507</v>
      </c>
      <c r="G6" s="7">
        <v>4570</v>
      </c>
      <c r="H6" s="7">
        <v>4172</v>
      </c>
      <c r="I6" s="7">
        <v>4182</v>
      </c>
      <c r="J6" s="7">
        <v>3877</v>
      </c>
      <c r="K6" s="7">
        <v>4486</v>
      </c>
      <c r="L6" s="7">
        <v>3931</v>
      </c>
      <c r="M6" s="7">
        <v>4669</v>
      </c>
      <c r="N6" s="7">
        <v>4321</v>
      </c>
      <c r="O6" s="7"/>
      <c r="P6" s="63">
        <f>AVERAGE(L6:N6)</f>
        <v>4307</v>
      </c>
      <c r="Q6" s="63">
        <f>AVERAGE(I6:N6)</f>
        <v>4244.333333333333</v>
      </c>
      <c r="R6" s="63">
        <f>AVERAGE(F6:N6)</f>
        <v>4301.666666666667</v>
      </c>
    </row>
    <row r="7" spans="2:18" x14ac:dyDescent="0.2">
      <c r="B7" t="s">
        <v>159</v>
      </c>
      <c r="C7" s="7">
        <v>14311</v>
      </c>
      <c r="D7" s="7">
        <v>14440</v>
      </c>
      <c r="E7" s="7">
        <v>14908</v>
      </c>
      <c r="F7" s="7">
        <v>15690</v>
      </c>
      <c r="G7" s="7">
        <v>15644</v>
      </c>
      <c r="H7" s="7">
        <v>15581</v>
      </c>
      <c r="I7" s="7">
        <v>15548</v>
      </c>
      <c r="J7" s="7">
        <v>15509</v>
      </c>
      <c r="K7" s="7">
        <v>15540</v>
      </c>
      <c r="L7" s="7">
        <v>15567</v>
      </c>
      <c r="M7" s="7">
        <v>15907</v>
      </c>
      <c r="N7" s="7">
        <v>15971</v>
      </c>
      <c r="O7" s="7"/>
      <c r="P7" s="63">
        <f t="shared" ref="P7:P9" si="2">AVERAGE(L7:N7)</f>
        <v>15815</v>
      </c>
      <c r="Q7" s="63">
        <f t="shared" ref="Q7:Q9" si="3">AVERAGE(I7:N7)</f>
        <v>15673.666666666666</v>
      </c>
      <c r="R7" s="63">
        <f t="shared" ref="R7:R9" si="4">AVERAGE(F7:N7)</f>
        <v>15661.888888888889</v>
      </c>
    </row>
    <row r="8" spans="2:18" x14ac:dyDescent="0.2">
      <c r="B8" t="s">
        <v>404</v>
      </c>
      <c r="C8" s="7">
        <v>647</v>
      </c>
      <c r="D8" s="7">
        <v>653</v>
      </c>
      <c r="E8" s="7">
        <v>736</v>
      </c>
      <c r="F8" s="7">
        <v>759</v>
      </c>
      <c r="G8" s="7">
        <v>640</v>
      </c>
      <c r="H8" s="7">
        <v>661</v>
      </c>
      <c r="I8" s="7">
        <v>839</v>
      </c>
      <c r="J8" s="7">
        <v>1372</v>
      </c>
      <c r="K8" s="7">
        <v>961</v>
      </c>
      <c r="L8" s="7">
        <v>810</v>
      </c>
      <c r="M8" s="7">
        <v>588</v>
      </c>
      <c r="N8" s="7">
        <v>674</v>
      </c>
      <c r="O8" s="7"/>
      <c r="P8" s="63">
        <f t="shared" si="2"/>
        <v>690.66666666666663</v>
      </c>
      <c r="Q8" s="63">
        <f t="shared" si="3"/>
        <v>874</v>
      </c>
      <c r="R8" s="63">
        <f t="shared" si="4"/>
        <v>811.55555555555554</v>
      </c>
    </row>
    <row r="9" spans="2:18" x14ac:dyDescent="0.2">
      <c r="B9" t="s">
        <v>405</v>
      </c>
      <c r="C9" s="7">
        <v>79</v>
      </c>
      <c r="D9" s="7">
        <v>60</v>
      </c>
      <c r="E9" s="7">
        <v>35</v>
      </c>
      <c r="F9" s="7">
        <v>291</v>
      </c>
      <c r="G9" s="7">
        <v>257</v>
      </c>
      <c r="H9" s="7">
        <v>230</v>
      </c>
      <c r="I9" s="7">
        <v>244</v>
      </c>
      <c r="J9" s="7">
        <v>185</v>
      </c>
      <c r="K9" s="7">
        <v>158</v>
      </c>
      <c r="L9" s="7">
        <v>198</v>
      </c>
      <c r="M9" s="7">
        <v>177</v>
      </c>
      <c r="N9" s="7">
        <v>148</v>
      </c>
      <c r="O9" s="7"/>
      <c r="P9" s="63">
        <f t="shared" si="2"/>
        <v>174.33333333333334</v>
      </c>
      <c r="Q9" s="63">
        <f t="shared" si="3"/>
        <v>185</v>
      </c>
      <c r="R9" s="63">
        <f t="shared" si="4"/>
        <v>209.77777777777777</v>
      </c>
    </row>
    <row r="10" spans="2:18" x14ac:dyDescent="0.2">
      <c r="B10" s="9" t="s">
        <v>406</v>
      </c>
      <c r="C10" s="10">
        <f>SUM(C6:C9)</f>
        <v>19135</v>
      </c>
      <c r="D10" s="10">
        <f t="shared" ref="D10:N10" si="5">SUM(D6:D9)</f>
        <v>19502</v>
      </c>
      <c r="E10" s="10">
        <f t="shared" si="5"/>
        <v>19608</v>
      </c>
      <c r="F10" s="10">
        <f t="shared" si="5"/>
        <v>21247</v>
      </c>
      <c r="G10" s="10">
        <f t="shared" si="5"/>
        <v>21111</v>
      </c>
      <c r="H10" s="10">
        <f t="shared" si="5"/>
        <v>20644</v>
      </c>
      <c r="I10" s="10">
        <f t="shared" si="5"/>
        <v>20813</v>
      </c>
      <c r="J10" s="10">
        <f t="shared" si="5"/>
        <v>20943</v>
      </c>
      <c r="K10" s="10">
        <f t="shared" si="5"/>
        <v>21145</v>
      </c>
      <c r="L10" s="10">
        <f t="shared" si="5"/>
        <v>20506</v>
      </c>
      <c r="M10" s="10">
        <f t="shared" si="5"/>
        <v>21341</v>
      </c>
      <c r="N10" s="10">
        <f t="shared" si="5"/>
        <v>21114</v>
      </c>
      <c r="O10" s="12"/>
      <c r="P10" s="64">
        <f>SUM(P6:P9)</f>
        <v>20987</v>
      </c>
      <c r="Q10" s="64">
        <f t="shared" ref="Q10:R10" si="6">SUM(Q6:Q9)</f>
        <v>20977</v>
      </c>
      <c r="R10" s="64">
        <f t="shared" si="6"/>
        <v>20984.888888888887</v>
      </c>
    </row>
    <row r="11" spans="2:18" ht="5" customHeight="1" x14ac:dyDescent="0.2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2:18" x14ac:dyDescent="0.2">
      <c r="B12" s="9" t="s">
        <v>369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2:18" x14ac:dyDescent="0.2">
      <c r="B13" t="s">
        <v>407</v>
      </c>
      <c r="C13" s="7">
        <v>1263</v>
      </c>
      <c r="D13" s="7">
        <v>1285</v>
      </c>
      <c r="E13" s="7">
        <v>1273</v>
      </c>
      <c r="F13" s="7">
        <v>2187</v>
      </c>
      <c r="G13" s="7">
        <v>1413</v>
      </c>
      <c r="H13" s="7">
        <v>846</v>
      </c>
      <c r="I13" s="7">
        <v>843</v>
      </c>
      <c r="J13" s="7">
        <v>872</v>
      </c>
      <c r="K13" s="7">
        <v>504</v>
      </c>
      <c r="L13" s="7">
        <v>544</v>
      </c>
      <c r="M13" s="7">
        <v>1078</v>
      </c>
      <c r="N13" s="7">
        <v>990</v>
      </c>
      <c r="O13" s="7"/>
      <c r="P13" s="63">
        <f t="shared" ref="P13" si="7">AVERAGE(L13:N13)</f>
        <v>870.66666666666663</v>
      </c>
      <c r="Q13" s="63">
        <f t="shared" ref="Q13" si="8">AVERAGE(I13:N13)</f>
        <v>805.16666666666663</v>
      </c>
      <c r="R13" s="63">
        <f t="shared" ref="R13" si="9">AVERAGE(F13:N13)</f>
        <v>1030.7777777777778</v>
      </c>
    </row>
    <row r="14" spans="2:18" x14ac:dyDescent="0.2">
      <c r="B14" t="s">
        <v>408</v>
      </c>
      <c r="C14" s="7">
        <v>1365</v>
      </c>
      <c r="D14" s="7">
        <v>1315</v>
      </c>
      <c r="E14" s="7">
        <v>1222</v>
      </c>
      <c r="F14" s="7">
        <v>1364</v>
      </c>
      <c r="G14" s="7">
        <v>1511</v>
      </c>
      <c r="H14" s="7">
        <v>1263</v>
      </c>
      <c r="I14" s="7">
        <v>1284</v>
      </c>
      <c r="J14" s="7">
        <v>1424</v>
      </c>
      <c r="K14" s="7">
        <v>1222</v>
      </c>
      <c r="L14" s="7">
        <v>1380</v>
      </c>
      <c r="M14" s="7">
        <v>1426</v>
      </c>
      <c r="N14" s="7">
        <v>1295</v>
      </c>
      <c r="O14" s="7"/>
      <c r="P14" s="63">
        <f t="shared" ref="P14" si="10">AVERAGE(L14:N14)</f>
        <v>1367</v>
      </c>
      <c r="Q14" s="63">
        <f t="shared" ref="Q14" si="11">AVERAGE(I14:N14)</f>
        <v>1338.5</v>
      </c>
      <c r="R14" s="63">
        <f t="shared" ref="R14" si="12">AVERAGE(F14:N14)</f>
        <v>1352.1111111111111</v>
      </c>
    </row>
    <row r="15" spans="2:18" x14ac:dyDescent="0.2">
      <c r="B15" s="9" t="s">
        <v>409</v>
      </c>
      <c r="C15" s="10">
        <f>SUM(C13:C14)</f>
        <v>2628</v>
      </c>
      <c r="D15" s="10">
        <f t="shared" ref="D15:N15" si="13">SUM(D13:D14)</f>
        <v>2600</v>
      </c>
      <c r="E15" s="10">
        <f t="shared" si="13"/>
        <v>2495</v>
      </c>
      <c r="F15" s="10">
        <f t="shared" si="13"/>
        <v>3551</v>
      </c>
      <c r="G15" s="10">
        <f t="shared" si="13"/>
        <v>2924</v>
      </c>
      <c r="H15" s="10">
        <f t="shared" si="13"/>
        <v>2109</v>
      </c>
      <c r="I15" s="10">
        <f t="shared" si="13"/>
        <v>2127</v>
      </c>
      <c r="J15" s="10">
        <f t="shared" si="13"/>
        <v>2296</v>
      </c>
      <c r="K15" s="10">
        <f t="shared" si="13"/>
        <v>1726</v>
      </c>
      <c r="L15" s="10">
        <f t="shared" si="13"/>
        <v>1924</v>
      </c>
      <c r="M15" s="10">
        <f t="shared" si="13"/>
        <v>2504</v>
      </c>
      <c r="N15" s="10">
        <f t="shared" si="13"/>
        <v>2285</v>
      </c>
      <c r="O15" s="12"/>
      <c r="P15" s="64">
        <f>SUM(P13:P14)</f>
        <v>2237.6666666666665</v>
      </c>
      <c r="Q15" s="64">
        <f t="shared" ref="Q15:R15" si="14">SUM(Q13:Q14)</f>
        <v>2143.6666666666665</v>
      </c>
      <c r="R15" s="64">
        <f t="shared" si="14"/>
        <v>2382.8888888888887</v>
      </c>
    </row>
    <row r="16" spans="2:18" ht="5" customHeight="1" x14ac:dyDescent="0.2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2:18" x14ac:dyDescent="0.2">
      <c r="B17" s="9" t="s">
        <v>410</v>
      </c>
      <c r="C17" s="10">
        <f>C10-C15</f>
        <v>16507</v>
      </c>
      <c r="D17" s="10">
        <f t="shared" ref="D17:R17" si="15">D10-D15</f>
        <v>16902</v>
      </c>
      <c r="E17" s="10">
        <f t="shared" si="15"/>
        <v>17113</v>
      </c>
      <c r="F17" s="10">
        <f t="shared" si="15"/>
        <v>17696</v>
      </c>
      <c r="G17" s="10">
        <f t="shared" si="15"/>
        <v>18187</v>
      </c>
      <c r="H17" s="10">
        <f t="shared" si="15"/>
        <v>18535</v>
      </c>
      <c r="I17" s="10">
        <f t="shared" si="15"/>
        <v>18686</v>
      </c>
      <c r="J17" s="10">
        <f t="shared" si="15"/>
        <v>18647</v>
      </c>
      <c r="K17" s="10">
        <f t="shared" si="15"/>
        <v>19419</v>
      </c>
      <c r="L17" s="10">
        <f t="shared" si="15"/>
        <v>18582</v>
      </c>
      <c r="M17" s="10">
        <f t="shared" si="15"/>
        <v>18837</v>
      </c>
      <c r="N17" s="10">
        <f t="shared" si="15"/>
        <v>18829</v>
      </c>
      <c r="O17" s="6"/>
      <c r="P17" s="64">
        <f t="shared" si="15"/>
        <v>18749.333333333332</v>
      </c>
      <c r="Q17" s="64">
        <f t="shared" si="15"/>
        <v>18833.333333333332</v>
      </c>
      <c r="R17" s="64">
        <f t="shared" si="15"/>
        <v>18602</v>
      </c>
    </row>
    <row r="18" spans="2:18" ht="30" customHeight="1" x14ac:dyDescent="0.2">
      <c r="D18" s="6">
        <f>D17-C17</f>
        <v>395</v>
      </c>
      <c r="E18" s="6">
        <f t="shared" ref="E18:R18" si="16">E17-D17</f>
        <v>211</v>
      </c>
      <c r="F18" s="6">
        <f t="shared" si="16"/>
        <v>583</v>
      </c>
      <c r="G18" s="6">
        <f t="shared" si="16"/>
        <v>491</v>
      </c>
      <c r="H18" s="6">
        <f t="shared" si="16"/>
        <v>348</v>
      </c>
      <c r="I18" s="6">
        <f t="shared" si="16"/>
        <v>151</v>
      </c>
      <c r="J18" s="6">
        <f t="shared" si="16"/>
        <v>-39</v>
      </c>
      <c r="K18" s="6">
        <f t="shared" si="16"/>
        <v>772</v>
      </c>
      <c r="L18" s="6">
        <f t="shared" si="16"/>
        <v>-837</v>
      </c>
      <c r="M18" s="6">
        <f t="shared" si="16"/>
        <v>255</v>
      </c>
      <c r="N18" s="6">
        <f t="shared" si="16"/>
        <v>-8</v>
      </c>
      <c r="O18" s="6">
        <f t="shared" si="16"/>
        <v>-18829</v>
      </c>
      <c r="P18" s="6">
        <f t="shared" si="16"/>
        <v>18749.333333333332</v>
      </c>
      <c r="Q18" s="6">
        <f t="shared" si="16"/>
        <v>84</v>
      </c>
      <c r="R18" s="6">
        <f t="shared" si="16"/>
        <v>-231.33333333333212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AF65F3645CB84989A87C1DB767E921" ma:contentTypeVersion="5" ma:contentTypeDescription="Create a new document." ma:contentTypeScope="" ma:versionID="ef1f9474a0407f3e27f9ebe8d9d6a4d0">
  <xsd:schema xmlns:xsd="http://www.w3.org/2001/XMLSchema" xmlns:xs="http://www.w3.org/2001/XMLSchema" xmlns:p="http://schemas.microsoft.com/office/2006/metadata/properties" xmlns:ns2="b21745bd-9c6e-48f0-a217-cbf819078ee3" xmlns:ns3="e9992c7c-5d8d-4eb5-b61e-4d51f5be2637" targetNamespace="http://schemas.microsoft.com/office/2006/metadata/properties" ma:root="true" ma:fieldsID="c2f80e4464b7601f550b02f1e5e33810" ns2:_="" ns3:_="">
    <xsd:import namespace="b21745bd-9c6e-48f0-a217-cbf819078ee3"/>
    <xsd:import namespace="e9992c7c-5d8d-4eb5-b61e-4d51f5be26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745bd-9c6e-48f0-a217-cbf819078e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992c7c-5d8d-4eb5-b61e-4d51f5be263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2CE571-B3C1-4DAD-AFC5-CE67FF4391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1745bd-9c6e-48f0-a217-cbf819078ee3"/>
    <ds:schemaRef ds:uri="e9992c7c-5d8d-4eb5-b61e-4d51f5be26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B976A9-CD29-4259-BD5A-32E2A9C287A5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elements/1.1/"/>
    <ds:schemaRef ds:uri="b21745bd-9c6e-48f0-a217-cbf819078ee3"/>
    <ds:schemaRef ds:uri="e9992c7c-5d8d-4eb5-b61e-4d51f5be2637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134008E-8E81-4B6D-A41A-C98C9897C9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Model</vt:lpstr>
      <vt:lpstr>CIM Exhibits &gt;&gt;&gt;</vt:lpstr>
      <vt:lpstr>Income Statement</vt:lpstr>
      <vt:lpstr>EBITDA Adj.</vt:lpstr>
      <vt:lpstr>Product Lines</vt:lpstr>
      <vt:lpstr>QofE Exhibits &gt;&gt;&gt;</vt:lpstr>
      <vt:lpstr>QofE</vt:lpstr>
      <vt:lpstr>QofNWC</vt:lpstr>
      <vt:lpstr>Monthly NWC</vt:lpstr>
      <vt:lpstr>Debt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J McCaffery</dc:creator>
  <cp:keywords/>
  <dc:description/>
  <cp:lastModifiedBy>TANMAY SHUKLA</cp:lastModifiedBy>
  <cp:revision/>
  <dcterms:created xsi:type="dcterms:W3CDTF">2021-09-01T22:07:03Z</dcterms:created>
  <dcterms:modified xsi:type="dcterms:W3CDTF">2022-11-11T09:40:18Z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0x010100B4AF65F3645CB84989A87C1DB767E921</vt:lpwstr>
  </property>
</Properties>
</file>