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heckCompatibility="1"/>
  <mc:AlternateContent xmlns:mc="http://schemas.openxmlformats.org/markup-compatibility/2006">
    <mc:Choice Requires="x15">
      <x15ac:absPath xmlns:x15ac="http://schemas.microsoft.com/office/spreadsheetml/2010/11/ac" url="https://tuckschool.sharepoint.com/sites/VCPEStuff/Shared Documents/General/Case 3 -- P97/"/>
    </mc:Choice>
  </mc:AlternateContent>
  <xr:revisionPtr revIDLastSave="65" documentId="8_{7A2D0CBC-0571-4729-A634-3A13FCC69345}" xr6:coauthVersionLast="47" xr6:coauthVersionMax="47" xr10:uidLastSave="{81FF29DD-5487-417C-B09E-E0C8CA05E658}"/>
  <bookViews>
    <workbookView xWindow="7605" yWindow="600" windowWidth="21300" windowHeight="14625" activeTab="2" xr2:uid="{00000000-000D-0000-FFFF-FFFF00000000}"/>
  </bookViews>
  <sheets>
    <sheet name="Cost of Capital" sheetId="7" r:id="rId1"/>
    <sheet name="P97" sheetId="12" r:id="rId2"/>
    <sheet name="P97 (2)" sheetId="13" r:id="rId3"/>
    <sheet name="CASE INFO" sheetId="11" r:id="rId4"/>
    <sheet name="FCF Analysis" sheetId="10" r:id="rId5"/>
  </sheets>
  <calcPr calcId="191028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12" l="1"/>
  <c r="G55" i="12"/>
  <c r="G56" i="12"/>
  <c r="G53" i="12"/>
  <c r="G54" i="13"/>
  <c r="G55" i="13"/>
  <c r="G56" i="13"/>
  <c r="G53" i="13"/>
  <c r="M30" i="13"/>
  <c r="F54" i="13"/>
  <c r="F53" i="13"/>
  <c r="F56" i="13"/>
  <c r="L28" i="13"/>
  <c r="L27" i="13"/>
  <c r="G19" i="13"/>
  <c r="H19" i="13" s="1"/>
  <c r="F19" i="13"/>
  <c r="K12" i="13"/>
  <c r="G12" i="13"/>
  <c r="F12" i="13"/>
  <c r="G10" i="13"/>
  <c r="F10" i="13"/>
  <c r="E10" i="13"/>
  <c r="K9" i="13"/>
  <c r="J9" i="13"/>
  <c r="J12" i="13" s="1"/>
  <c r="I9" i="13"/>
  <c r="I12" i="13" s="1"/>
  <c r="H9" i="13"/>
  <c r="H12" i="13" s="1"/>
  <c r="K8" i="13"/>
  <c r="J8" i="13"/>
  <c r="I8" i="13"/>
  <c r="H8" i="13"/>
  <c r="G8" i="13"/>
  <c r="F8" i="13"/>
  <c r="K7" i="13"/>
  <c r="J7" i="13"/>
  <c r="I7" i="13"/>
  <c r="H7" i="13"/>
  <c r="G7" i="13"/>
  <c r="F7" i="13"/>
  <c r="K6" i="13"/>
  <c r="J6" i="13"/>
  <c r="I6" i="13"/>
  <c r="H6" i="13"/>
  <c r="G6" i="13"/>
  <c r="F6" i="13"/>
  <c r="E6" i="13"/>
  <c r="D6" i="13"/>
  <c r="C6" i="13"/>
  <c r="B6" i="13"/>
  <c r="F54" i="12"/>
  <c r="F55" i="12"/>
  <c r="F56" i="12"/>
  <c r="F53" i="12"/>
  <c r="F43" i="12"/>
  <c r="F38" i="12"/>
  <c r="F35" i="12"/>
  <c r="M30" i="12"/>
  <c r="L28" i="12"/>
  <c r="L27" i="12"/>
  <c r="H19" i="12"/>
  <c r="I19" i="12" s="1"/>
  <c r="G19" i="12"/>
  <c r="F19" i="12"/>
  <c r="J12" i="12"/>
  <c r="G12" i="12"/>
  <c r="F12" i="12"/>
  <c r="G10" i="12"/>
  <c r="F10" i="12"/>
  <c r="E10" i="12"/>
  <c r="K9" i="12"/>
  <c r="K12" i="12" s="1"/>
  <c r="J9" i="12"/>
  <c r="I9" i="12"/>
  <c r="I12" i="12" s="1"/>
  <c r="H9" i="12"/>
  <c r="H12" i="12" s="1"/>
  <c r="K8" i="12"/>
  <c r="J8" i="12"/>
  <c r="I8" i="12"/>
  <c r="H8" i="12"/>
  <c r="G8" i="12"/>
  <c r="F8" i="12"/>
  <c r="K7" i="12"/>
  <c r="J7" i="12"/>
  <c r="I7" i="12"/>
  <c r="H7" i="12"/>
  <c r="G7" i="12"/>
  <c r="F7" i="12"/>
  <c r="K6" i="12"/>
  <c r="J6" i="12"/>
  <c r="I6" i="12"/>
  <c r="H6" i="12"/>
  <c r="G6" i="12"/>
  <c r="F6" i="12"/>
  <c r="E6" i="12"/>
  <c r="D6" i="12"/>
  <c r="C6" i="12"/>
  <c r="B6" i="12"/>
  <c r="K30" i="11"/>
  <c r="F53" i="11"/>
  <c r="H18" i="13" l="1"/>
  <c r="I19" i="13"/>
  <c r="F35" i="13"/>
  <c r="F38" i="13" s="1"/>
  <c r="F43" i="13" s="1"/>
  <c r="F45" i="13" s="1"/>
  <c r="F55" i="13"/>
  <c r="F45" i="12"/>
  <c r="I18" i="12"/>
  <c r="J19" i="12"/>
  <c r="H18" i="12"/>
  <c r="J19" i="13" l="1"/>
  <c r="I18" i="13"/>
  <c r="J18" i="12"/>
  <c r="K19" i="12"/>
  <c r="K18" i="12" s="1"/>
  <c r="J18" i="13" l="1"/>
  <c r="K19" i="13"/>
  <c r="K18" i="13" s="1"/>
  <c r="G54" i="11" l="1"/>
  <c r="L28" i="11"/>
  <c r="F33" i="11"/>
  <c r="F32" i="11"/>
  <c r="L27" i="11"/>
  <c r="K24" i="11"/>
  <c r="J24" i="11"/>
  <c r="I24" i="11"/>
  <c r="H24" i="11"/>
  <c r="G24" i="11"/>
  <c r="F24" i="11"/>
  <c r="G19" i="11"/>
  <c r="H19" i="11" s="1"/>
  <c r="F19" i="11"/>
  <c r="G12" i="11"/>
  <c r="F12" i="11"/>
  <c r="G10" i="11"/>
  <c r="F10" i="11"/>
  <c r="E10" i="11"/>
  <c r="K9" i="11"/>
  <c r="K12" i="11" s="1"/>
  <c r="J9" i="11"/>
  <c r="I9" i="11"/>
  <c r="I12" i="11" s="1"/>
  <c r="H9" i="11"/>
  <c r="H12" i="11" s="1"/>
  <c r="K8" i="11"/>
  <c r="J8" i="11"/>
  <c r="I8" i="11"/>
  <c r="H8" i="11"/>
  <c r="G8" i="11"/>
  <c r="F8" i="11"/>
  <c r="K7" i="11"/>
  <c r="J7" i="11"/>
  <c r="I7" i="11"/>
  <c r="H7" i="11"/>
  <c r="G7" i="11"/>
  <c r="F7" i="11"/>
  <c r="K6" i="11"/>
  <c r="J6" i="11"/>
  <c r="I6" i="11"/>
  <c r="H6" i="11"/>
  <c r="G6" i="11"/>
  <c r="F6" i="11"/>
  <c r="E6" i="11"/>
  <c r="D6" i="11"/>
  <c r="C6" i="11"/>
  <c r="B6" i="11"/>
  <c r="B6" i="7"/>
  <c r="F7" i="10"/>
  <c r="F25" i="10"/>
  <c r="G25" i="10"/>
  <c r="G26" i="10" s="1"/>
  <c r="H25" i="10"/>
  <c r="I25" i="10"/>
  <c r="J25" i="10"/>
  <c r="F32" i="10"/>
  <c r="B10" i="7"/>
  <c r="B6" i="10"/>
  <c r="C6" i="10"/>
  <c r="D6" i="10"/>
  <c r="E6" i="10"/>
  <c r="F6" i="10"/>
  <c r="G6" i="10"/>
  <c r="H6" i="10"/>
  <c r="I6" i="10"/>
  <c r="J6" i="10"/>
  <c r="K6" i="10"/>
  <c r="G7" i="10"/>
  <c r="H7" i="10"/>
  <c r="I7" i="10"/>
  <c r="J7" i="10"/>
  <c r="K7" i="10"/>
  <c r="F8" i="10"/>
  <c r="G8" i="10"/>
  <c r="H8" i="10"/>
  <c r="I8" i="10"/>
  <c r="J8" i="10"/>
  <c r="K8" i="10"/>
  <c r="H9" i="10"/>
  <c r="I9" i="10"/>
  <c r="J9" i="10"/>
  <c r="J12" i="10" s="1"/>
  <c r="K9" i="10"/>
  <c r="K25" i="10" s="1"/>
  <c r="L25" i="10" s="1"/>
  <c r="E10" i="10"/>
  <c r="F10" i="10"/>
  <c r="G10" i="10"/>
  <c r="F12" i="10"/>
  <c r="G12" i="10"/>
  <c r="H12" i="10"/>
  <c r="I12" i="10"/>
  <c r="K12" i="10"/>
  <c r="F19" i="10"/>
  <c r="G19" i="10"/>
  <c r="H19" i="10" s="1"/>
  <c r="F24" i="10"/>
  <c r="G24" i="10"/>
  <c r="H24" i="10"/>
  <c r="I24" i="10"/>
  <c r="J24" i="10"/>
  <c r="K24" i="10"/>
  <c r="G27" i="10"/>
  <c r="H27" i="10"/>
  <c r="I27" i="10"/>
  <c r="J27" i="10"/>
  <c r="K27" i="10"/>
  <c r="L27" i="10" s="1"/>
  <c r="G28" i="10"/>
  <c r="H18" i="11" l="1"/>
  <c r="I19" i="11"/>
  <c r="J12" i="11"/>
  <c r="L25" i="11"/>
  <c r="G29" i="11"/>
  <c r="H29" i="11"/>
  <c r="G29" i="10"/>
  <c r="F33" i="10"/>
  <c r="L26" i="10"/>
  <c r="I19" i="10"/>
  <c r="H18" i="10"/>
  <c r="H28" i="10" s="1"/>
  <c r="I26" i="10"/>
  <c r="H26" i="10"/>
  <c r="K26" i="10"/>
  <c r="I18" i="11" l="1"/>
  <c r="I29" i="11" s="1"/>
  <c r="J19" i="11"/>
  <c r="H29" i="10"/>
  <c r="J19" i="10"/>
  <c r="I18" i="10"/>
  <c r="I28" i="10" s="1"/>
  <c r="I29" i="10" s="1"/>
  <c r="J26" i="10"/>
  <c r="J18" i="11" l="1"/>
  <c r="J29" i="11" s="1"/>
  <c r="K19" i="11"/>
  <c r="K18" i="11" s="1"/>
  <c r="K19" i="10"/>
  <c r="K18" i="10" s="1"/>
  <c r="K28" i="10" s="1"/>
  <c r="J18" i="10"/>
  <c r="J28" i="10" s="1"/>
  <c r="J29" i="10" s="1"/>
  <c r="L28" i="10" l="1"/>
  <c r="L29" i="10" s="1"/>
  <c r="K29" i="10"/>
  <c r="L29" i="11" l="1"/>
  <c r="K29" i="11"/>
  <c r="K30" i="10"/>
  <c r="F56" i="10" s="1"/>
  <c r="G56" i="10" s="1"/>
  <c r="F54" i="11" l="1"/>
  <c r="F35" i="10"/>
  <c r="F38" i="10" s="1"/>
  <c r="F43" i="10" s="1"/>
  <c r="F45" i="10" s="1"/>
  <c r="G53" i="10"/>
  <c r="F53" i="10"/>
  <c r="F55" i="10"/>
  <c r="G55" i="10" s="1"/>
  <c r="F54" i="10"/>
  <c r="G54" i="10" s="1"/>
  <c r="F35" i="11" l="1"/>
  <c r="F38" i="11" s="1"/>
  <c r="F43" i="11" s="1"/>
  <c r="F45" i="11" s="1"/>
  <c r="G53" i="11"/>
  <c r="F55" i="11"/>
  <c r="G55" i="11" s="1"/>
  <c r="F56" i="11"/>
  <c r="G56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tc={8C87CCA8-C9F1-4674-9F12-F046F3D79430}</author>
  </authors>
  <commentList>
    <comment ref="E30" authorId="0" shapeId="0" xr:uid="{8C87CCA8-C9F1-4674-9F12-F046F3D7943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https://www.saas-capital.com/blog-posts/2022-private-saas-company-valuations/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tc={2B72B120-CC00-416C-9681-38AF22EE257D}</author>
  </authors>
  <commentList>
    <comment ref="E30" authorId="0" shapeId="0" xr:uid="{2B72B120-CC00-416C-9681-38AF22EE257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https://www.saas-capital.com/blog-posts/2022-private-saas-company-valuations/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tc={2E581DF5-A8F1-45B1-9D8C-B63E2A33C0E6}</author>
  </authors>
  <commentList>
    <comment ref="E30" authorId="0" shapeId="0" xr:uid="{2E581DF5-A8F1-45B1-9D8C-B63E2A33C0E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https://www.saas-capital.com/blog-posts/2022-private-saas-company-valuations/</t>
      </text>
    </comment>
  </commentList>
</comments>
</file>

<file path=xl/sharedStrings.xml><?xml version="1.0" encoding="utf-8"?>
<sst xmlns="http://schemas.openxmlformats.org/spreadsheetml/2006/main" count="172" uniqueCount="49">
  <si>
    <t>Cost of Capital (Assuming All-Equity Capital Structure)</t>
  </si>
  <si>
    <t>Beta of Comparable Firm</t>
  </si>
  <si>
    <t>Debt of Comparable Firm</t>
  </si>
  <si>
    <t>Equity Market Value of Comparable Firm</t>
  </si>
  <si>
    <t>Unlevered Beta of Comparable Firm</t>
  </si>
  <si>
    <t>Risk-Free Rate</t>
  </si>
  <si>
    <t>Equity Premium</t>
  </si>
  <si>
    <t>Unlevered Cost of Capital</t>
  </si>
  <si>
    <t>FCF Analysis</t>
  </si>
  <si>
    <t>Forward looking estimates</t>
  </si>
  <si>
    <t>Historical</t>
  </si>
  <si>
    <t>($ in millions)</t>
  </si>
  <si>
    <t>LTM</t>
  </si>
  <si>
    <t>2021E</t>
  </si>
  <si>
    <t xml:space="preserve"> Revenue</t>
  </si>
  <si>
    <t>Gross Margin</t>
  </si>
  <si>
    <t xml:space="preserve">  % Gross Margin Assumed</t>
  </si>
  <si>
    <t>% Sales Growth Rate</t>
  </si>
  <si>
    <t>CAGR  (Different years relative to beginning)</t>
  </si>
  <si>
    <t>Adjusted EBITDA</t>
  </si>
  <si>
    <t>% Assumed</t>
  </si>
  <si>
    <t>EBIT</t>
  </si>
  <si>
    <t>Capital Expenditures</t>
  </si>
  <si>
    <t>Balance Sheet Items at End of Year</t>
  </si>
  <si>
    <t>Net Working Capital (excluding Cash)</t>
  </si>
  <si>
    <t>NWC %</t>
  </si>
  <si>
    <t>Cash</t>
  </si>
  <si>
    <t>Steady-State</t>
  </si>
  <si>
    <t>EBITDA</t>
  </si>
  <si>
    <t>-Taxes @ 40%</t>
  </si>
  <si>
    <t>-CapEx</t>
  </si>
  <si>
    <t>-Change in Net Working Capital</t>
  </si>
  <si>
    <t>=Cash Flow</t>
  </si>
  <si>
    <t>Multiple of EBITDA Terminal Value</t>
  </si>
  <si>
    <t>Cost of Capital (assuming all equity)</t>
  </si>
  <si>
    <t>Including 20% Illiquidity premium</t>
  </si>
  <si>
    <t>Net Present Value of Cash Flows (At Equity Discount Rate)</t>
  </si>
  <si>
    <t>-Debt Outstanding Pre-Deal</t>
  </si>
  <si>
    <t>+Excess Cash</t>
  </si>
  <si>
    <t>(Cash in excess of what is needed for NWC)</t>
  </si>
  <si>
    <t>=Enterprise Value at EQUITY DISCOUNT RATE</t>
  </si>
  <si>
    <t>Assume the firm wants an investment of 25 million</t>
  </si>
  <si>
    <t>to fund the hiring of additional sales people &amp; a marketing campaign!</t>
  </si>
  <si>
    <t xml:space="preserve">    (not in above cash flows but necessary)</t>
  </si>
  <si>
    <t>Post Money Valuation</t>
  </si>
  <si>
    <t>% of the firm</t>
  </si>
  <si>
    <t>Implied Value of the Firm at Different IRRs</t>
  </si>
  <si>
    <t>% Of Firm</t>
  </si>
  <si>
    <t>For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</si>
</sst>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</numFmts>
  <fonts count="11" x14ac:knownFonts="1">
    <font>
      <sz val="10"/>
      <name val="Arial"/>
    </font>
    <font>
      <sz val="10"/>
      <name val="Arial"/>
      <family val="2"/>
    </font>
    <font>
      <sz val="9"/>
      <color indexed="8"/>
      <name val="Helvetica"/>
    </font>
    <font>
      <b/>
      <sz val="9"/>
      <color indexed="8"/>
      <name val="Helvetica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9"/>
      <color rgb="FFFF0000"/>
      <name val="Helvetica"/>
    </font>
    <font>
      <b/>
      <sz val="10"/>
      <color rgb="FFFF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43">
    <xf numFmtId="0" fontId="0" fillId="0" borderId="0" xfId="0"/>
    <xf numFmtId="0" fontId="3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0" fillId="0" borderId="0" xfId="0" quotePrefix="1"/>
    <xf numFmtId="0" fontId="2" fillId="0" borderId="0" xfId="0" quotePrefix="1" applyFont="1" applyAlignment="1">
      <alignment wrapText="1"/>
    </xf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0" xfId="0" applyFont="1"/>
    <xf numFmtId="9" fontId="2" fillId="0" borderId="0" xfId="2" applyFont="1" applyAlignment="1">
      <alignment horizontal="center" wrapText="1"/>
    </xf>
    <xf numFmtId="165" fontId="2" fillId="0" borderId="0" xfId="2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165" fontId="7" fillId="0" borderId="0" xfId="2" applyNumberFormat="1" applyFont="1" applyAlignment="1">
      <alignment horizontal="center" wrapText="1"/>
    </xf>
    <xf numFmtId="0" fontId="8" fillId="0" borderId="0" xfId="0" applyFont="1" applyAlignment="1">
      <alignment horizontal="center"/>
    </xf>
    <xf numFmtId="164" fontId="4" fillId="0" borderId="0" xfId="0" applyNumberFormat="1" applyFont="1"/>
    <xf numFmtId="165" fontId="0" fillId="0" borderId="0" xfId="2" applyNumberFormat="1" applyFont="1"/>
    <xf numFmtId="165" fontId="3" fillId="0" borderId="0" xfId="2" applyNumberFormat="1" applyFont="1" applyAlignment="1">
      <alignment horizontal="center" wrapText="1"/>
    </xf>
    <xf numFmtId="8" fontId="0" fillId="0" borderId="0" xfId="0" applyNumberFormat="1"/>
    <xf numFmtId="165" fontId="0" fillId="0" borderId="0" xfId="0" applyNumberFormat="1"/>
    <xf numFmtId="0" fontId="6" fillId="0" borderId="0" xfId="0" quotePrefix="1" applyFont="1"/>
    <xf numFmtId="0" fontId="6" fillId="0" borderId="0" xfId="0" applyFont="1"/>
    <xf numFmtId="0" fontId="3" fillId="0" borderId="0" xfId="0" applyFont="1" applyAlignment="1">
      <alignment wrapText="1"/>
    </xf>
    <xf numFmtId="10" fontId="4" fillId="0" borderId="0" xfId="0" applyNumberFormat="1" applyFont="1"/>
    <xf numFmtId="164" fontId="0" fillId="3" borderId="0" xfId="0" applyNumberFormat="1" applyFill="1"/>
    <xf numFmtId="0" fontId="0" fillId="3" borderId="0" xfId="0" applyFill="1"/>
    <xf numFmtId="10" fontId="4" fillId="3" borderId="0" xfId="0" applyNumberFormat="1" applyFont="1" applyFill="1"/>
    <xf numFmtId="44" fontId="4" fillId="0" borderId="0" xfId="1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164" fontId="0" fillId="4" borderId="0" xfId="0" applyNumberFormat="1" applyFill="1"/>
    <xf numFmtId="0" fontId="2" fillId="0" borderId="0" xfId="0" applyFont="1" applyAlignment="1">
      <alignment horizontal="center" wrapText="1"/>
    </xf>
    <xf numFmtId="0" fontId="0" fillId="0" borderId="0" xfId="0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 wrapText="1"/>
    </xf>
    <xf numFmtId="43" fontId="0" fillId="5" borderId="0" xfId="3" applyFont="1" applyFill="1"/>
    <xf numFmtId="43" fontId="0" fillId="0" borderId="0" xfId="3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syhojos, Sophia M." id="{8DE52B2E-5539-4151-9EAB-F513647208C2}" userId="S::sophia.m.psyhojos.tu23@tuck.dartmouth.edu::a05cc6c1-f11f-4638-9f01-13cf4c593b6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0" dT="2022-10-17T20:48:05.42" personId="{8DE52B2E-5539-4151-9EAB-F513647208C2}" id="{8C87CCA8-C9F1-4674-9F12-F046F3D79430}">
    <text>https://www.saas-capital.com/blog-posts/2022-private-saas-company-valuations/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30" dT="2022-10-17T20:48:05.42" personId="{8DE52B2E-5539-4151-9EAB-F513647208C2}" id="{2B72B120-CC00-416C-9681-38AF22EE257D}">
    <text>https://www.saas-capital.com/blog-posts/2022-private-saas-company-valuations/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30" dT="2022-10-17T20:48:05.42" personId="{8DE52B2E-5539-4151-9EAB-F513647208C2}" id="{2E581DF5-A8F1-45B1-9D8C-B63E2A33C0E6}">
    <text>https://www.saas-capital.com/blog-posts/2022-private-saas-company-valuations/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D4" sqref="D4"/>
    </sheetView>
  </sheetViews>
  <sheetFormatPr defaultRowHeight="12.75" x14ac:dyDescent="0.2"/>
  <cols>
    <col min="1" max="1" width="35" customWidth="1"/>
    <col min="2" max="2" width="13" customWidth="1"/>
  </cols>
  <sheetData>
    <row r="1" spans="1:2" x14ac:dyDescent="0.2">
      <c r="A1" s="13" t="s">
        <v>0</v>
      </c>
    </row>
    <row r="3" spans="1:2" x14ac:dyDescent="0.2">
      <c r="A3" t="s">
        <v>1</v>
      </c>
      <c r="B3">
        <v>1.5</v>
      </c>
    </row>
    <row r="4" spans="1:2" x14ac:dyDescent="0.2">
      <c r="A4" t="s">
        <v>2</v>
      </c>
      <c r="B4">
        <v>10</v>
      </c>
    </row>
    <row r="5" spans="1:2" x14ac:dyDescent="0.2">
      <c r="A5" t="s">
        <v>3</v>
      </c>
      <c r="B5">
        <v>96.8</v>
      </c>
    </row>
    <row r="6" spans="1:2" x14ac:dyDescent="0.2">
      <c r="A6" t="s">
        <v>4</v>
      </c>
      <c r="B6" s="12">
        <f>B3*(B5/(B4+B5))</f>
        <v>1.3595505617977528</v>
      </c>
    </row>
    <row r="8" spans="1:2" x14ac:dyDescent="0.2">
      <c r="A8" t="s">
        <v>5</v>
      </c>
      <c r="B8" s="11">
        <v>4.65E-2</v>
      </c>
    </row>
    <row r="9" spans="1:2" x14ac:dyDescent="0.2">
      <c r="A9" t="s">
        <v>6</v>
      </c>
      <c r="B9" s="11">
        <v>0.06</v>
      </c>
    </row>
    <row r="10" spans="1:2" x14ac:dyDescent="0.2">
      <c r="A10" t="s">
        <v>7</v>
      </c>
      <c r="B10" s="11">
        <f>B8+B9*B6</f>
        <v>0.12807303370786516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6CAE-42D7-42D2-96FC-980894AD49DF}">
  <dimension ref="A1:M58"/>
  <sheetViews>
    <sheetView topLeftCell="A24" workbookViewId="0">
      <selection activeCell="I59" sqref="I59"/>
    </sheetView>
  </sheetViews>
  <sheetFormatPr defaultRowHeight="12.75" outlineLevelRow="1" x14ac:dyDescent="0.2"/>
  <cols>
    <col min="1" max="1" width="14.42578125" customWidth="1"/>
    <col min="6" max="6" width="22.28515625" bestFit="1" customWidth="1"/>
    <col min="7" max="7" width="18.42578125" customWidth="1"/>
    <col min="8" max="9" width="11.140625" bestFit="1" customWidth="1"/>
    <col min="10" max="10" width="11.5703125" bestFit="1" customWidth="1"/>
    <col min="11" max="11" width="13" bestFit="1" customWidth="1"/>
    <col min="12" max="12" width="11.5703125" bestFit="1" customWidth="1"/>
    <col min="13" max="13" width="12.5703125" bestFit="1" customWidth="1"/>
  </cols>
  <sheetData>
    <row r="1" spans="1:11" hidden="1" outlineLevel="1" x14ac:dyDescent="0.2">
      <c r="A1" s="14" t="s">
        <v>8</v>
      </c>
      <c r="B1" s="14"/>
      <c r="C1" s="14"/>
      <c r="D1" s="14"/>
      <c r="E1" s="14"/>
      <c r="F1" t="s">
        <v>9</v>
      </c>
    </row>
    <row r="2" spans="1:11" hidden="1" outlineLevel="1" x14ac:dyDescent="0.2">
      <c r="B2" t="s">
        <v>10</v>
      </c>
    </row>
    <row r="3" spans="1:11" hidden="1" outlineLevel="1" x14ac:dyDescent="0.2">
      <c r="A3" s="1" t="s">
        <v>11</v>
      </c>
      <c r="B3" s="17">
        <v>2018</v>
      </c>
      <c r="C3" s="17">
        <v>2019</v>
      </c>
      <c r="D3" s="17">
        <v>2020</v>
      </c>
      <c r="E3" t="s">
        <v>12</v>
      </c>
      <c r="F3" s="1" t="s">
        <v>13</v>
      </c>
      <c r="G3" s="1">
        <v>2022</v>
      </c>
      <c r="H3" s="1">
        <v>2023</v>
      </c>
      <c r="I3" s="1">
        <v>2024</v>
      </c>
      <c r="J3" s="1">
        <v>2025</v>
      </c>
      <c r="K3" s="1">
        <v>2026</v>
      </c>
    </row>
    <row r="4" spans="1:11" hidden="1" outlineLevel="1" x14ac:dyDescent="0.2">
      <c r="A4" s="33" t="s">
        <v>14</v>
      </c>
      <c r="B4" s="5">
        <v>11.7</v>
      </c>
      <c r="C4" s="5">
        <v>15.6</v>
      </c>
      <c r="D4" s="5">
        <v>20</v>
      </c>
      <c r="E4" s="5">
        <v>25</v>
      </c>
      <c r="F4" s="5">
        <v>37.299999999999997</v>
      </c>
      <c r="G4" s="5">
        <v>55</v>
      </c>
      <c r="H4" s="5">
        <v>75</v>
      </c>
      <c r="I4" s="5">
        <v>90</v>
      </c>
      <c r="J4" s="5">
        <v>105</v>
      </c>
      <c r="K4" s="5">
        <v>120</v>
      </c>
    </row>
    <row r="5" spans="1:11" hidden="1" outlineLevel="1" x14ac:dyDescent="0.2">
      <c r="A5" s="33" t="s">
        <v>15</v>
      </c>
      <c r="B5" s="5">
        <v>0</v>
      </c>
      <c r="C5" s="5">
        <v>0</v>
      </c>
      <c r="D5" s="5">
        <v>0</v>
      </c>
      <c r="E5" s="5">
        <v>2</v>
      </c>
      <c r="F5" s="5">
        <v>5</v>
      </c>
      <c r="G5" s="5">
        <v>8</v>
      </c>
      <c r="H5" s="5">
        <v>20</v>
      </c>
      <c r="I5" s="5">
        <v>22.8</v>
      </c>
      <c r="J5" s="5">
        <v>24.1</v>
      </c>
      <c r="K5" s="5">
        <v>25.7</v>
      </c>
    </row>
    <row r="6" spans="1:11" ht="24" hidden="1" outlineLevel="1" x14ac:dyDescent="0.2">
      <c r="A6" s="33" t="s">
        <v>16</v>
      </c>
      <c r="B6" s="15">
        <f t="shared" ref="B6:K6" si="0">B5/B4</f>
        <v>0</v>
      </c>
      <c r="C6" s="15">
        <f t="shared" si="0"/>
        <v>0</v>
      </c>
      <c r="D6" s="15">
        <f t="shared" si="0"/>
        <v>0</v>
      </c>
      <c r="E6" s="15">
        <f t="shared" si="0"/>
        <v>0.08</v>
      </c>
      <c r="F6" s="15">
        <f t="shared" si="0"/>
        <v>0.13404825737265416</v>
      </c>
      <c r="G6" s="15">
        <f t="shared" si="0"/>
        <v>0.14545454545454545</v>
      </c>
      <c r="H6" s="15">
        <f t="shared" si="0"/>
        <v>0.26666666666666666</v>
      </c>
      <c r="I6" s="15">
        <f t="shared" si="0"/>
        <v>0.25333333333333335</v>
      </c>
      <c r="J6" s="15">
        <f t="shared" si="0"/>
        <v>0.22952380952380955</v>
      </c>
      <c r="K6" s="15">
        <f t="shared" si="0"/>
        <v>0.21416666666666667</v>
      </c>
    </row>
    <row r="7" spans="1:11" ht="21.75" hidden="1" customHeight="1" outlineLevel="1" x14ac:dyDescent="0.2">
      <c r="A7" s="17" t="s">
        <v>17</v>
      </c>
      <c r="B7" s="13"/>
      <c r="C7" s="13"/>
      <c r="D7" s="13"/>
      <c r="E7" s="13"/>
      <c r="F7" s="22">
        <f>F4/E4 - 1</f>
        <v>0.49199999999999999</v>
      </c>
      <c r="G7" s="22">
        <f>G4/F4-1</f>
        <v>0.4745308310991958</v>
      </c>
      <c r="H7" s="22">
        <f>H4/G4-1</f>
        <v>0.36363636363636354</v>
      </c>
      <c r="I7" s="22">
        <f>I4/H4-1</f>
        <v>0.19999999999999996</v>
      </c>
      <c r="J7" s="22">
        <f>J4/I4-1</f>
        <v>0.16666666666666674</v>
      </c>
      <c r="K7" s="22">
        <f>K4/J4-1</f>
        <v>0.14285714285714279</v>
      </c>
    </row>
    <row r="8" spans="1:11" ht="24" hidden="1" customHeight="1" outlineLevel="1" x14ac:dyDescent="0.2">
      <c r="A8" s="36" t="s">
        <v>18</v>
      </c>
      <c r="B8" s="37"/>
      <c r="C8" s="37"/>
      <c r="D8" s="37"/>
      <c r="F8" s="16">
        <f>F4/$E$4 - 1</f>
        <v>0.49199999999999999</v>
      </c>
      <c r="G8" s="16">
        <f>(G4/$E$4)^(1/2) - 1</f>
        <v>0.48323969741913264</v>
      </c>
      <c r="H8" s="16">
        <f>(H4/$E$4)^(1/3) - 1</f>
        <v>0.4422495703074083</v>
      </c>
      <c r="I8" s="16">
        <f>(I4/$E$4)^(1/4) - 1</f>
        <v>0.37744930799685972</v>
      </c>
      <c r="J8" s="16">
        <f>(J4/$E$4)^(1/5) - 1</f>
        <v>0.33244673837449668</v>
      </c>
      <c r="K8" s="16">
        <f>(K4/$E$4)^(1/6) - 1</f>
        <v>0.29879379833886577</v>
      </c>
    </row>
    <row r="9" spans="1:11" hidden="1" outlineLevel="1" x14ac:dyDescent="0.2">
      <c r="A9" s="33" t="s">
        <v>19</v>
      </c>
      <c r="B9" s="19"/>
      <c r="C9" s="19"/>
      <c r="D9" s="19"/>
      <c r="E9" s="19"/>
      <c r="F9" s="19">
        <v>5</v>
      </c>
      <c r="G9" s="5">
        <v>9</v>
      </c>
      <c r="H9" s="5">
        <f>H4*H10</f>
        <v>22.349999999999998</v>
      </c>
      <c r="I9" s="5">
        <f>I4*I10</f>
        <v>26.82</v>
      </c>
      <c r="J9" s="5">
        <f>J4*J10</f>
        <v>31.29</v>
      </c>
      <c r="K9" s="5">
        <f>K4*K10</f>
        <v>35.76</v>
      </c>
    </row>
    <row r="10" spans="1:11" hidden="1" outlineLevel="1" x14ac:dyDescent="0.2">
      <c r="A10" s="33" t="s">
        <v>20</v>
      </c>
      <c r="B10" s="18">
        <v>0</v>
      </c>
      <c r="C10" s="18">
        <v>0</v>
      </c>
      <c r="D10" s="18">
        <v>0</v>
      </c>
      <c r="E10" s="18">
        <f>E9/E4</f>
        <v>0</v>
      </c>
      <c r="F10" s="18">
        <f>F9/F4</f>
        <v>0.13404825737265416</v>
      </c>
      <c r="G10" s="18">
        <f>G9/G4</f>
        <v>0.16363636363636364</v>
      </c>
      <c r="H10" s="18">
        <v>0.29799999999999999</v>
      </c>
      <c r="I10" s="18">
        <v>0.29799999999999999</v>
      </c>
      <c r="J10" s="18">
        <v>0.29799999999999999</v>
      </c>
      <c r="K10" s="18">
        <v>0.29799999999999999</v>
      </c>
    </row>
    <row r="11" spans="1:11" hidden="1" outlineLevel="1" x14ac:dyDescent="0.2">
      <c r="A11" s="33"/>
      <c r="F11" s="5"/>
      <c r="G11" s="16"/>
      <c r="H11" s="16"/>
      <c r="I11" s="16"/>
      <c r="J11" s="16"/>
      <c r="K11" s="16"/>
    </row>
    <row r="12" spans="1:11" hidden="1" outlineLevel="1" x14ac:dyDescent="0.2">
      <c r="A12" s="33" t="s">
        <v>21</v>
      </c>
      <c r="B12" s="5">
        <v>0</v>
      </c>
      <c r="C12" s="5">
        <v>0</v>
      </c>
      <c r="D12" s="5">
        <v>0</v>
      </c>
      <c r="E12" s="5">
        <v>2</v>
      </c>
      <c r="F12" s="5">
        <f t="shared" ref="F12:K12" si="1">F9</f>
        <v>5</v>
      </c>
      <c r="G12" s="5">
        <f t="shared" si="1"/>
        <v>9</v>
      </c>
      <c r="H12" s="5">
        <f t="shared" si="1"/>
        <v>22.349999999999998</v>
      </c>
      <c r="I12" s="5">
        <f t="shared" si="1"/>
        <v>26.82</v>
      </c>
      <c r="J12" s="5">
        <f t="shared" si="1"/>
        <v>31.29</v>
      </c>
      <c r="K12" s="5">
        <f t="shared" si="1"/>
        <v>35.76</v>
      </c>
    </row>
    <row r="13" spans="1:11" hidden="1" outlineLevel="1" x14ac:dyDescent="0.2">
      <c r="A13" s="33"/>
      <c r="F13" s="5"/>
      <c r="G13" s="5"/>
      <c r="H13" s="5"/>
      <c r="I13" s="5"/>
      <c r="J13" s="5"/>
      <c r="K13" s="5"/>
    </row>
    <row r="14" spans="1:11" ht="24" hidden="1" outlineLevel="1" x14ac:dyDescent="0.2">
      <c r="A14" s="33" t="s">
        <v>22</v>
      </c>
      <c r="B14" s="5">
        <v>0.1</v>
      </c>
      <c r="C14" s="5">
        <v>0.1</v>
      </c>
      <c r="D14" s="5">
        <v>0.1</v>
      </c>
      <c r="E14" s="5">
        <v>0.1</v>
      </c>
      <c r="F14" s="5">
        <v>0.1</v>
      </c>
      <c r="G14" s="5">
        <v>0.5</v>
      </c>
      <c r="H14" s="5">
        <v>0.5</v>
      </c>
      <c r="I14" s="5">
        <v>0.5</v>
      </c>
      <c r="J14" s="5">
        <v>0.5</v>
      </c>
      <c r="K14" s="5">
        <v>0.5</v>
      </c>
    </row>
    <row r="15" spans="1:11" hidden="1" outlineLevel="1" x14ac:dyDescent="0.2">
      <c r="A15" s="3"/>
      <c r="B15" s="3"/>
      <c r="C15" s="3"/>
      <c r="D15" s="3"/>
      <c r="E15" s="3"/>
      <c r="F15" s="5"/>
      <c r="G15" s="5"/>
      <c r="H15" s="5"/>
      <c r="I15" s="5"/>
      <c r="J15" s="5"/>
      <c r="K15" s="5"/>
    </row>
    <row r="16" spans="1:11" ht="36" hidden="1" outlineLevel="1" x14ac:dyDescent="0.2">
      <c r="A16" s="4" t="s">
        <v>23</v>
      </c>
      <c r="B16" s="4"/>
      <c r="C16" s="4"/>
      <c r="D16" s="4"/>
      <c r="E16" s="4"/>
      <c r="F16" s="6"/>
      <c r="G16" s="6"/>
      <c r="H16" s="6"/>
      <c r="I16" s="6"/>
      <c r="J16" s="6"/>
      <c r="K16" s="6"/>
    </row>
    <row r="17" spans="1:13" hidden="1" outlineLevel="1" x14ac:dyDescent="0.2">
      <c r="A17" s="3"/>
      <c r="B17" s="3"/>
      <c r="C17" s="3"/>
      <c r="D17" s="3"/>
      <c r="E17" s="3"/>
      <c r="F17" s="5"/>
      <c r="G17" s="5"/>
      <c r="H17" s="5"/>
      <c r="I17" s="5"/>
      <c r="J17" s="5"/>
      <c r="K17" s="5"/>
    </row>
    <row r="18" spans="1:13" ht="36" hidden="1" outlineLevel="1" x14ac:dyDescent="0.2">
      <c r="A18" s="3" t="s">
        <v>24</v>
      </c>
      <c r="B18" s="3"/>
      <c r="C18" s="3"/>
      <c r="D18" s="3"/>
      <c r="E18" s="3"/>
      <c r="F18" s="5">
        <v>2.9</v>
      </c>
      <c r="G18" s="5">
        <v>5.3</v>
      </c>
      <c r="H18" s="5">
        <f>H19*H4</f>
        <v>7.2272727272727266</v>
      </c>
      <c r="I18" s="5">
        <f>I19*I4</f>
        <v>8.672727272727272</v>
      </c>
      <c r="J18" s="5">
        <f>J19*J4</f>
        <v>10.118181818181817</v>
      </c>
      <c r="K18" s="5">
        <f>K19*K4</f>
        <v>11.563636363636363</v>
      </c>
    </row>
    <row r="19" spans="1:13" hidden="1" outlineLevel="1" x14ac:dyDescent="0.2">
      <c r="A19" s="3" t="s">
        <v>25</v>
      </c>
      <c r="B19" s="3"/>
      <c r="C19" s="3"/>
      <c r="D19" s="3"/>
      <c r="E19" s="3"/>
      <c r="F19" s="16">
        <f>F18/F4</f>
        <v>7.774798927613942E-2</v>
      </c>
      <c r="G19" s="16">
        <f>G18/G4</f>
        <v>9.636363636363636E-2</v>
      </c>
      <c r="H19" s="16">
        <f>G19</f>
        <v>9.636363636363636E-2</v>
      </c>
      <c r="I19" s="16">
        <f>H19</f>
        <v>9.636363636363636E-2</v>
      </c>
      <c r="J19" s="16">
        <f>I19</f>
        <v>9.636363636363636E-2</v>
      </c>
      <c r="K19" s="16">
        <f>J19</f>
        <v>9.636363636363636E-2</v>
      </c>
    </row>
    <row r="20" spans="1:13" hidden="1" outlineLevel="1" x14ac:dyDescent="0.2">
      <c r="A20" s="3" t="s">
        <v>26</v>
      </c>
      <c r="B20" s="3"/>
      <c r="C20" s="3"/>
      <c r="D20" s="3"/>
      <c r="E20" s="3"/>
      <c r="F20" s="5">
        <v>0</v>
      </c>
      <c r="G20" s="5">
        <v>0</v>
      </c>
      <c r="H20" s="5">
        <v>0</v>
      </c>
      <c r="I20" s="5">
        <v>3.7</v>
      </c>
      <c r="J20" s="5">
        <v>14.4</v>
      </c>
      <c r="K20" s="5">
        <v>26.1</v>
      </c>
    </row>
    <row r="21" spans="1:13" hidden="1" outlineLevel="1" x14ac:dyDescent="0.2"/>
    <row r="22" spans="1:13" hidden="1" outlineLevel="1" x14ac:dyDescent="0.2">
      <c r="A22" s="3"/>
      <c r="B22" s="3"/>
      <c r="C22" s="3"/>
      <c r="D22" s="3"/>
      <c r="E22" s="3"/>
      <c r="F22" s="9"/>
    </row>
    <row r="23" spans="1:13" hidden="1" outlineLevel="1" x14ac:dyDescent="0.2">
      <c r="A23" s="3"/>
      <c r="B23" s="3"/>
      <c r="C23" s="3"/>
      <c r="D23" s="3"/>
      <c r="E23" s="3"/>
      <c r="F23" s="9"/>
    </row>
    <row r="24" spans="1:13" collapsed="1" x14ac:dyDescent="0.2">
      <c r="F24" s="1">
        <v>2019</v>
      </c>
      <c r="G24" s="1">
        <v>2020</v>
      </c>
      <c r="H24" s="1">
        <v>2021</v>
      </c>
      <c r="I24" s="1">
        <v>2022</v>
      </c>
      <c r="J24" s="1">
        <v>2023</v>
      </c>
      <c r="K24" s="1">
        <v>2024</v>
      </c>
      <c r="L24" s="1">
        <v>2025</v>
      </c>
      <c r="M24" s="40">
        <v>2026</v>
      </c>
    </row>
    <row r="25" spans="1:13" x14ac:dyDescent="0.2">
      <c r="A25" s="3" t="s">
        <v>28</v>
      </c>
      <c r="B25" s="3"/>
      <c r="C25" s="3"/>
      <c r="D25" s="3" t="s">
        <v>28</v>
      </c>
      <c r="E25" s="3"/>
      <c r="F25" s="29">
        <v>-13329803.680366296</v>
      </c>
      <c r="G25" s="29">
        <v>-9469563.3300000001</v>
      </c>
      <c r="H25" s="29">
        <v>-12928952.659999995</v>
      </c>
      <c r="I25" s="29">
        <v>-11671359.792584101</v>
      </c>
      <c r="J25" s="29">
        <v>1997235.5548744784</v>
      </c>
      <c r="K25" s="29">
        <v>32886863.446294881</v>
      </c>
      <c r="L25" s="29">
        <v>103812851.23884565</v>
      </c>
      <c r="M25">
        <v>177497817.81870025</v>
      </c>
    </row>
    <row r="26" spans="1:13" x14ac:dyDescent="0.2">
      <c r="A26" s="8" t="s">
        <v>29</v>
      </c>
      <c r="B26" s="8"/>
      <c r="C26" s="8"/>
      <c r="D26" s="8"/>
      <c r="E26" s="8"/>
      <c r="F26" s="29"/>
      <c r="G26" s="35"/>
      <c r="H26" s="35"/>
      <c r="I26" s="35"/>
      <c r="J26" s="35"/>
      <c r="K26" s="35"/>
      <c r="L26" s="35"/>
    </row>
    <row r="27" spans="1:13" x14ac:dyDescent="0.2">
      <c r="A27" s="8" t="s">
        <v>30</v>
      </c>
      <c r="B27" s="8"/>
      <c r="C27" s="8"/>
      <c r="D27" s="8"/>
      <c r="E27" s="8"/>
      <c r="F27" s="30"/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f>K27*(1+F$22)</f>
        <v>0</v>
      </c>
    </row>
    <row r="28" spans="1:13" x14ac:dyDescent="0.2">
      <c r="A28" s="7" t="s">
        <v>31</v>
      </c>
      <c r="B28" s="7"/>
      <c r="C28" s="7"/>
      <c r="D28" s="7"/>
      <c r="E28" s="7"/>
      <c r="F28" s="30"/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f>K28*F22/(K25/J25)</f>
        <v>0</v>
      </c>
    </row>
    <row r="29" spans="1:13" x14ac:dyDescent="0.2">
      <c r="A29" s="7" t="s">
        <v>32</v>
      </c>
      <c r="B29" s="7"/>
      <c r="C29" s="7"/>
      <c r="D29" s="7"/>
      <c r="E29" s="7"/>
      <c r="F29" s="30">
        <v>-13333098.880366296</v>
      </c>
      <c r="G29" s="29">
        <v>-9470051.9100000001</v>
      </c>
      <c r="H29" s="29">
        <v>-12937193.339999994</v>
      </c>
      <c r="I29" s="29">
        <v>-11698592.647638587</v>
      </c>
      <c r="J29" s="29">
        <v>1315095.3742253392</v>
      </c>
      <c r="K29" s="29">
        <v>26032022.464939736</v>
      </c>
      <c r="L29" s="29">
        <v>82114212.595590562</v>
      </c>
      <c r="M29">
        <v>140376951.98677498</v>
      </c>
    </row>
    <row r="30" spans="1:13" x14ac:dyDescent="0.2">
      <c r="A30" s="13" t="s">
        <v>33</v>
      </c>
      <c r="E30" s="30">
        <v>15</v>
      </c>
      <c r="M30" s="20">
        <f>E30*M25</f>
        <v>2662467267.2805037</v>
      </c>
    </row>
    <row r="32" spans="1:13" x14ac:dyDescent="0.2">
      <c r="A32" s="38" t="s">
        <v>34</v>
      </c>
      <c r="B32" s="39"/>
      <c r="C32" s="39"/>
      <c r="D32" s="39"/>
      <c r="E32" s="34"/>
      <c r="F32" s="31"/>
      <c r="K32" s="10"/>
    </row>
    <row r="33" spans="1:11" x14ac:dyDescent="0.2">
      <c r="A33" s="38" t="s">
        <v>35</v>
      </c>
      <c r="B33" s="39"/>
      <c r="C33" s="39"/>
      <c r="D33" s="39"/>
      <c r="E33" s="34"/>
      <c r="F33" s="31">
        <v>0.3</v>
      </c>
    </row>
    <row r="34" spans="1:11" x14ac:dyDescent="0.2">
      <c r="K34" s="10"/>
    </row>
    <row r="35" spans="1:11" x14ac:dyDescent="0.2">
      <c r="A35" s="26" t="s">
        <v>36</v>
      </c>
      <c r="F35" s="41">
        <f>NPV(F33,I29,J29,K29+M30)</f>
        <v>1215493077.9050646</v>
      </c>
    </row>
    <row r="36" spans="1:11" x14ac:dyDescent="0.2">
      <c r="A36" s="7" t="s">
        <v>37</v>
      </c>
      <c r="B36" s="7"/>
      <c r="C36" s="7"/>
      <c r="D36" s="7"/>
      <c r="E36" s="7"/>
      <c r="F36" s="10">
        <v>0</v>
      </c>
    </row>
    <row r="37" spans="1:11" x14ac:dyDescent="0.2">
      <c r="A37" s="7" t="s">
        <v>38</v>
      </c>
      <c r="B37" s="7"/>
      <c r="C37" s="7"/>
      <c r="D37" s="7"/>
      <c r="E37" s="7"/>
      <c r="F37" s="10">
        <v>0</v>
      </c>
      <c r="G37" t="s">
        <v>39</v>
      </c>
    </row>
    <row r="38" spans="1:11" x14ac:dyDescent="0.2">
      <c r="A38" s="25" t="s">
        <v>40</v>
      </c>
      <c r="B38" s="7"/>
      <c r="C38" s="7"/>
      <c r="D38" s="7"/>
      <c r="E38" s="7"/>
      <c r="F38" s="42">
        <f>F35-F36+F37</f>
        <v>1215493077.9050646</v>
      </c>
    </row>
    <row r="39" spans="1:11" x14ac:dyDescent="0.2">
      <c r="A39" s="3"/>
      <c r="B39" s="3"/>
      <c r="C39" s="3"/>
      <c r="D39" s="3"/>
      <c r="E39" s="3"/>
      <c r="F39" s="11"/>
    </row>
    <row r="40" spans="1:11" x14ac:dyDescent="0.2">
      <c r="A40" s="13" t="s">
        <v>41</v>
      </c>
      <c r="B40" s="13"/>
      <c r="C40" s="13"/>
      <c r="D40" s="13"/>
      <c r="E40" s="13"/>
      <c r="F40" s="32">
        <v>20000000</v>
      </c>
      <c r="G40">
        <v>5000000</v>
      </c>
    </row>
    <row r="41" spans="1:11" x14ac:dyDescent="0.2">
      <c r="A41" s="13" t="s">
        <v>42</v>
      </c>
      <c r="B41" s="13"/>
      <c r="C41" s="13"/>
      <c r="D41" s="13"/>
      <c r="E41" s="13"/>
      <c r="F41" s="13"/>
    </row>
    <row r="42" spans="1:11" x14ac:dyDescent="0.2">
      <c r="A42" s="13" t="s">
        <v>43</v>
      </c>
      <c r="B42" s="13"/>
      <c r="C42" s="13"/>
      <c r="D42" s="13"/>
      <c r="E42" s="13"/>
    </row>
    <row r="43" spans="1:11" x14ac:dyDescent="0.2">
      <c r="A43" t="s">
        <v>44</v>
      </c>
      <c r="F43" s="32">
        <f>F38+F40</f>
        <v>1235493077.9050646</v>
      </c>
    </row>
    <row r="45" spans="1:11" x14ac:dyDescent="0.2">
      <c r="D45" t="s">
        <v>45</v>
      </c>
      <c r="F45" s="21">
        <f>F40/F43</f>
        <v>1.6187868922675423E-2</v>
      </c>
    </row>
    <row r="46" spans="1:11" x14ac:dyDescent="0.2">
      <c r="D46" s="26"/>
    </row>
    <row r="48" spans="1:11" x14ac:dyDescent="0.2">
      <c r="G48" s="13"/>
    </row>
    <row r="49" spans="2:9" x14ac:dyDescent="0.2">
      <c r="B49" s="13" t="s">
        <v>46</v>
      </c>
      <c r="G49" s="13" t="s">
        <v>47</v>
      </c>
      <c r="I49" s="13"/>
    </row>
    <row r="50" spans="2:9" x14ac:dyDescent="0.2">
      <c r="G50" s="13" t="s">
        <v>48</v>
      </c>
      <c r="I50" s="13"/>
    </row>
    <row r="51" spans="2:9" x14ac:dyDescent="0.2">
      <c r="G51" s="13"/>
      <c r="I51" s="13"/>
    </row>
    <row r="52" spans="2:9" x14ac:dyDescent="0.2">
      <c r="E52" s="9"/>
      <c r="F52" s="23"/>
      <c r="G52" s="21"/>
    </row>
    <row r="53" spans="2:9" x14ac:dyDescent="0.2">
      <c r="E53" s="9">
        <v>0.15</v>
      </c>
      <c r="F53" s="23">
        <f>NPV(E53,G$29,H$29,I$29,J$29,K$29+M$30)+$F$40</f>
        <v>1331701990.6489954</v>
      </c>
      <c r="G53" s="21">
        <f>G$40/F53</f>
        <v>3.7545937718117292E-3</v>
      </c>
      <c r="I53" s="24"/>
    </row>
    <row r="54" spans="2:9" x14ac:dyDescent="0.2">
      <c r="E54" s="9">
        <v>0.2</v>
      </c>
      <c r="F54" s="23">
        <f t="shared" ref="F54:F56" si="2">NPV(E54,G$29,H$29,I$29,J$29,K$29+M$30)+$F$40</f>
        <v>1077435884.8740587</v>
      </c>
      <c r="G54" s="21">
        <f t="shared" ref="G54:G56" si="3">G$40/F54</f>
        <v>4.6406473649097451E-3</v>
      </c>
      <c r="I54" s="24"/>
    </row>
    <row r="55" spans="2:9" x14ac:dyDescent="0.2">
      <c r="E55" s="9">
        <v>0.25</v>
      </c>
      <c r="F55" s="23">
        <f t="shared" si="2"/>
        <v>879660585.62787855</v>
      </c>
      <c r="G55" s="21">
        <f t="shared" si="3"/>
        <v>5.6840104941511408E-3</v>
      </c>
      <c r="I55" s="24"/>
    </row>
    <row r="56" spans="2:9" x14ac:dyDescent="0.2">
      <c r="E56" s="9">
        <v>0.3</v>
      </c>
      <c r="F56" s="23">
        <f t="shared" si="2"/>
        <v>724286874.01305568</v>
      </c>
      <c r="G56" s="21">
        <f t="shared" si="3"/>
        <v>6.9033420035579333E-3</v>
      </c>
    </row>
    <row r="58" spans="2:9" x14ac:dyDescent="0.2">
      <c r="B58" s="26"/>
    </row>
  </sheetData>
  <mergeCells count="3">
    <mergeCell ref="A8:D8"/>
    <mergeCell ref="A32:D32"/>
    <mergeCell ref="A33:D33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D023E-0932-4DB8-963E-BD9A4DDE3FA7}">
  <dimension ref="A1:M58"/>
  <sheetViews>
    <sheetView tabSelected="1" topLeftCell="A24" workbookViewId="0">
      <selection activeCell="G53" sqref="G53:G56"/>
    </sheetView>
  </sheetViews>
  <sheetFormatPr defaultRowHeight="12.75" outlineLevelRow="1" x14ac:dyDescent="0.2"/>
  <cols>
    <col min="1" max="1" width="14.42578125" customWidth="1"/>
    <col min="6" max="6" width="22.28515625" bestFit="1" customWidth="1"/>
    <col min="7" max="7" width="18.42578125" customWidth="1"/>
    <col min="8" max="9" width="11.140625" bestFit="1" customWidth="1"/>
    <col min="10" max="10" width="11.5703125" bestFit="1" customWidth="1"/>
    <col min="11" max="11" width="13" bestFit="1" customWidth="1"/>
    <col min="12" max="12" width="11.5703125" bestFit="1" customWidth="1"/>
    <col min="13" max="13" width="12.5703125" bestFit="1" customWidth="1"/>
  </cols>
  <sheetData>
    <row r="1" spans="1:11" hidden="1" outlineLevel="1" x14ac:dyDescent="0.2">
      <c r="A1" s="14" t="s">
        <v>8</v>
      </c>
      <c r="B1" s="14"/>
      <c r="C1" s="14"/>
      <c r="D1" s="14"/>
      <c r="E1" s="14"/>
      <c r="F1" t="s">
        <v>9</v>
      </c>
    </row>
    <row r="2" spans="1:11" hidden="1" outlineLevel="1" x14ac:dyDescent="0.2">
      <c r="B2" t="s">
        <v>10</v>
      </c>
    </row>
    <row r="3" spans="1:11" hidden="1" outlineLevel="1" x14ac:dyDescent="0.2">
      <c r="A3" s="1" t="s">
        <v>11</v>
      </c>
      <c r="B3" s="17">
        <v>2018</v>
      </c>
      <c r="C3" s="17">
        <v>2019</v>
      </c>
      <c r="D3" s="17">
        <v>2020</v>
      </c>
      <c r="E3" t="s">
        <v>12</v>
      </c>
      <c r="F3" s="1" t="s">
        <v>13</v>
      </c>
      <c r="G3" s="1">
        <v>2022</v>
      </c>
      <c r="H3" s="1">
        <v>2023</v>
      </c>
      <c r="I3" s="1">
        <v>2024</v>
      </c>
      <c r="J3" s="1">
        <v>2025</v>
      </c>
      <c r="K3" s="1">
        <v>2026</v>
      </c>
    </row>
    <row r="4" spans="1:11" hidden="1" outlineLevel="1" x14ac:dyDescent="0.2">
      <c r="A4" s="33" t="s">
        <v>14</v>
      </c>
      <c r="B4" s="5">
        <v>11.7</v>
      </c>
      <c r="C4" s="5">
        <v>15.6</v>
      </c>
      <c r="D4" s="5">
        <v>20</v>
      </c>
      <c r="E4" s="5">
        <v>25</v>
      </c>
      <c r="F4" s="5">
        <v>37.299999999999997</v>
      </c>
      <c r="G4" s="5">
        <v>55</v>
      </c>
      <c r="H4" s="5">
        <v>75</v>
      </c>
      <c r="I4" s="5">
        <v>90</v>
      </c>
      <c r="J4" s="5">
        <v>105</v>
      </c>
      <c r="K4" s="5">
        <v>120</v>
      </c>
    </row>
    <row r="5" spans="1:11" hidden="1" outlineLevel="1" x14ac:dyDescent="0.2">
      <c r="A5" s="33" t="s">
        <v>15</v>
      </c>
      <c r="B5" s="5">
        <v>0</v>
      </c>
      <c r="C5" s="5">
        <v>0</v>
      </c>
      <c r="D5" s="5">
        <v>0</v>
      </c>
      <c r="E5" s="5">
        <v>2</v>
      </c>
      <c r="F5" s="5">
        <v>5</v>
      </c>
      <c r="G5" s="5">
        <v>8</v>
      </c>
      <c r="H5" s="5">
        <v>20</v>
      </c>
      <c r="I5" s="5">
        <v>22.8</v>
      </c>
      <c r="J5" s="5">
        <v>24.1</v>
      </c>
      <c r="K5" s="5">
        <v>25.7</v>
      </c>
    </row>
    <row r="6" spans="1:11" ht="24" hidden="1" outlineLevel="1" x14ac:dyDescent="0.2">
      <c r="A6" s="33" t="s">
        <v>16</v>
      </c>
      <c r="B6" s="15">
        <f t="shared" ref="B6:K6" si="0">B5/B4</f>
        <v>0</v>
      </c>
      <c r="C6" s="15">
        <f t="shared" si="0"/>
        <v>0</v>
      </c>
      <c r="D6" s="15">
        <f t="shared" si="0"/>
        <v>0</v>
      </c>
      <c r="E6" s="15">
        <f t="shared" si="0"/>
        <v>0.08</v>
      </c>
      <c r="F6" s="15">
        <f t="shared" si="0"/>
        <v>0.13404825737265416</v>
      </c>
      <c r="G6" s="15">
        <f t="shared" si="0"/>
        <v>0.14545454545454545</v>
      </c>
      <c r="H6" s="15">
        <f t="shared" si="0"/>
        <v>0.26666666666666666</v>
      </c>
      <c r="I6" s="15">
        <f t="shared" si="0"/>
        <v>0.25333333333333335</v>
      </c>
      <c r="J6" s="15">
        <f t="shared" si="0"/>
        <v>0.22952380952380955</v>
      </c>
      <c r="K6" s="15">
        <f t="shared" si="0"/>
        <v>0.21416666666666667</v>
      </c>
    </row>
    <row r="7" spans="1:11" ht="21.75" hidden="1" customHeight="1" outlineLevel="1" x14ac:dyDescent="0.2">
      <c r="A7" s="17" t="s">
        <v>17</v>
      </c>
      <c r="B7" s="13"/>
      <c r="C7" s="13"/>
      <c r="D7" s="13"/>
      <c r="E7" s="13"/>
      <c r="F7" s="22">
        <f>F4/E4 - 1</f>
        <v>0.49199999999999999</v>
      </c>
      <c r="G7" s="22">
        <f>G4/F4-1</f>
        <v>0.4745308310991958</v>
      </c>
      <c r="H7" s="22">
        <f>H4/G4-1</f>
        <v>0.36363636363636354</v>
      </c>
      <c r="I7" s="22">
        <f>I4/H4-1</f>
        <v>0.19999999999999996</v>
      </c>
      <c r="J7" s="22">
        <f>J4/I4-1</f>
        <v>0.16666666666666674</v>
      </c>
      <c r="K7" s="22">
        <f>K4/J4-1</f>
        <v>0.14285714285714279</v>
      </c>
    </row>
    <row r="8" spans="1:11" ht="24" hidden="1" customHeight="1" outlineLevel="1" x14ac:dyDescent="0.2">
      <c r="A8" s="36" t="s">
        <v>18</v>
      </c>
      <c r="B8" s="37"/>
      <c r="C8" s="37"/>
      <c r="D8" s="37"/>
      <c r="F8" s="16">
        <f>F4/$E$4 - 1</f>
        <v>0.49199999999999999</v>
      </c>
      <c r="G8" s="16">
        <f>(G4/$E$4)^(1/2) - 1</f>
        <v>0.48323969741913264</v>
      </c>
      <c r="H8" s="16">
        <f>(H4/$E$4)^(1/3) - 1</f>
        <v>0.4422495703074083</v>
      </c>
      <c r="I8" s="16">
        <f>(I4/$E$4)^(1/4) - 1</f>
        <v>0.37744930799685972</v>
      </c>
      <c r="J8" s="16">
        <f>(J4/$E$4)^(1/5) - 1</f>
        <v>0.33244673837449668</v>
      </c>
      <c r="K8" s="16">
        <f>(K4/$E$4)^(1/6) - 1</f>
        <v>0.29879379833886577</v>
      </c>
    </row>
    <row r="9" spans="1:11" hidden="1" outlineLevel="1" x14ac:dyDescent="0.2">
      <c r="A9" s="33" t="s">
        <v>19</v>
      </c>
      <c r="B9" s="19"/>
      <c r="C9" s="19"/>
      <c r="D9" s="19"/>
      <c r="E9" s="19"/>
      <c r="F9" s="19">
        <v>5</v>
      </c>
      <c r="G9" s="5">
        <v>9</v>
      </c>
      <c r="H9" s="5">
        <f>H4*H10</f>
        <v>22.349999999999998</v>
      </c>
      <c r="I9" s="5">
        <f>I4*I10</f>
        <v>26.82</v>
      </c>
      <c r="J9" s="5">
        <f>J4*J10</f>
        <v>31.29</v>
      </c>
      <c r="K9" s="5">
        <f>K4*K10</f>
        <v>35.76</v>
      </c>
    </row>
    <row r="10" spans="1:11" hidden="1" outlineLevel="1" x14ac:dyDescent="0.2">
      <c r="A10" s="33" t="s">
        <v>20</v>
      </c>
      <c r="B10" s="18">
        <v>0</v>
      </c>
      <c r="C10" s="18">
        <v>0</v>
      </c>
      <c r="D10" s="18">
        <v>0</v>
      </c>
      <c r="E10" s="18">
        <f>E9/E4</f>
        <v>0</v>
      </c>
      <c r="F10" s="18">
        <f>F9/F4</f>
        <v>0.13404825737265416</v>
      </c>
      <c r="G10" s="18">
        <f>G9/G4</f>
        <v>0.16363636363636364</v>
      </c>
      <c r="H10" s="18">
        <v>0.29799999999999999</v>
      </c>
      <c r="I10" s="18">
        <v>0.29799999999999999</v>
      </c>
      <c r="J10" s="18">
        <v>0.29799999999999999</v>
      </c>
      <c r="K10" s="18">
        <v>0.29799999999999999</v>
      </c>
    </row>
    <row r="11" spans="1:11" hidden="1" outlineLevel="1" x14ac:dyDescent="0.2">
      <c r="A11" s="33"/>
      <c r="F11" s="5"/>
      <c r="G11" s="16"/>
      <c r="H11" s="16"/>
      <c r="I11" s="16"/>
      <c r="J11" s="16"/>
      <c r="K11" s="16"/>
    </row>
    <row r="12" spans="1:11" hidden="1" outlineLevel="1" x14ac:dyDescent="0.2">
      <c r="A12" s="33" t="s">
        <v>21</v>
      </c>
      <c r="B12" s="5">
        <v>0</v>
      </c>
      <c r="C12" s="5">
        <v>0</v>
      </c>
      <c r="D12" s="5">
        <v>0</v>
      </c>
      <c r="E12" s="5">
        <v>2</v>
      </c>
      <c r="F12" s="5">
        <f t="shared" ref="F12:K12" si="1">F9</f>
        <v>5</v>
      </c>
      <c r="G12" s="5">
        <f t="shared" si="1"/>
        <v>9</v>
      </c>
      <c r="H12" s="5">
        <f t="shared" si="1"/>
        <v>22.349999999999998</v>
      </c>
      <c r="I12" s="5">
        <f t="shared" si="1"/>
        <v>26.82</v>
      </c>
      <c r="J12" s="5">
        <f t="shared" si="1"/>
        <v>31.29</v>
      </c>
      <c r="K12" s="5">
        <f t="shared" si="1"/>
        <v>35.76</v>
      </c>
    </row>
    <row r="13" spans="1:11" hidden="1" outlineLevel="1" x14ac:dyDescent="0.2">
      <c r="A13" s="33"/>
      <c r="F13" s="5"/>
      <c r="G13" s="5"/>
      <c r="H13" s="5"/>
      <c r="I13" s="5"/>
      <c r="J13" s="5"/>
      <c r="K13" s="5"/>
    </row>
    <row r="14" spans="1:11" ht="24" hidden="1" outlineLevel="1" x14ac:dyDescent="0.2">
      <c r="A14" s="33" t="s">
        <v>22</v>
      </c>
      <c r="B14" s="5">
        <v>0.1</v>
      </c>
      <c r="C14" s="5">
        <v>0.1</v>
      </c>
      <c r="D14" s="5">
        <v>0.1</v>
      </c>
      <c r="E14" s="5">
        <v>0.1</v>
      </c>
      <c r="F14" s="5">
        <v>0.1</v>
      </c>
      <c r="G14" s="5">
        <v>0.5</v>
      </c>
      <c r="H14" s="5">
        <v>0.5</v>
      </c>
      <c r="I14" s="5">
        <v>0.5</v>
      </c>
      <c r="J14" s="5">
        <v>0.5</v>
      </c>
      <c r="K14" s="5">
        <v>0.5</v>
      </c>
    </row>
    <row r="15" spans="1:11" hidden="1" outlineLevel="1" x14ac:dyDescent="0.2">
      <c r="A15" s="3"/>
      <c r="B15" s="3"/>
      <c r="C15" s="3"/>
      <c r="D15" s="3"/>
      <c r="E15" s="3"/>
      <c r="F15" s="5"/>
      <c r="G15" s="5"/>
      <c r="H15" s="5"/>
      <c r="I15" s="5"/>
      <c r="J15" s="5"/>
      <c r="K15" s="5"/>
    </row>
    <row r="16" spans="1:11" ht="36" hidden="1" outlineLevel="1" x14ac:dyDescent="0.2">
      <c r="A16" s="4" t="s">
        <v>23</v>
      </c>
      <c r="B16" s="4"/>
      <c r="C16" s="4"/>
      <c r="D16" s="4"/>
      <c r="E16" s="4"/>
      <c r="F16" s="6"/>
      <c r="G16" s="6"/>
      <c r="H16" s="6"/>
      <c r="I16" s="6"/>
      <c r="J16" s="6"/>
      <c r="K16" s="6"/>
    </row>
    <row r="17" spans="1:13" hidden="1" outlineLevel="1" x14ac:dyDescent="0.2">
      <c r="A17" s="3"/>
      <c r="B17" s="3"/>
      <c r="C17" s="3"/>
      <c r="D17" s="3"/>
      <c r="E17" s="3"/>
      <c r="F17" s="5"/>
      <c r="G17" s="5"/>
      <c r="H17" s="5"/>
      <c r="I17" s="5"/>
      <c r="J17" s="5"/>
      <c r="K17" s="5"/>
    </row>
    <row r="18" spans="1:13" ht="36" hidden="1" outlineLevel="1" x14ac:dyDescent="0.2">
      <c r="A18" s="3" t="s">
        <v>24</v>
      </c>
      <c r="B18" s="3"/>
      <c r="C18" s="3"/>
      <c r="D18" s="3"/>
      <c r="E18" s="3"/>
      <c r="F18" s="5">
        <v>2.9</v>
      </c>
      <c r="G18" s="5">
        <v>5.3</v>
      </c>
      <c r="H18" s="5">
        <f>H19*H4</f>
        <v>7.2272727272727266</v>
      </c>
      <c r="I18" s="5">
        <f>I19*I4</f>
        <v>8.672727272727272</v>
      </c>
      <c r="J18" s="5">
        <f>J19*J4</f>
        <v>10.118181818181817</v>
      </c>
      <c r="K18" s="5">
        <f>K19*K4</f>
        <v>11.563636363636363</v>
      </c>
    </row>
    <row r="19" spans="1:13" hidden="1" outlineLevel="1" x14ac:dyDescent="0.2">
      <c r="A19" s="3" t="s">
        <v>25</v>
      </c>
      <c r="B19" s="3"/>
      <c r="C19" s="3"/>
      <c r="D19" s="3"/>
      <c r="E19" s="3"/>
      <c r="F19" s="16">
        <f>F18/F4</f>
        <v>7.774798927613942E-2</v>
      </c>
      <c r="G19" s="16">
        <f>G18/G4</f>
        <v>9.636363636363636E-2</v>
      </c>
      <c r="H19" s="16">
        <f>G19</f>
        <v>9.636363636363636E-2</v>
      </c>
      <c r="I19" s="16">
        <f>H19</f>
        <v>9.636363636363636E-2</v>
      </c>
      <c r="J19" s="16">
        <f>I19</f>
        <v>9.636363636363636E-2</v>
      </c>
      <c r="K19" s="16">
        <f>J19</f>
        <v>9.636363636363636E-2</v>
      </c>
    </row>
    <row r="20" spans="1:13" hidden="1" outlineLevel="1" x14ac:dyDescent="0.2">
      <c r="A20" s="3" t="s">
        <v>26</v>
      </c>
      <c r="B20" s="3"/>
      <c r="C20" s="3"/>
      <c r="D20" s="3"/>
      <c r="E20" s="3"/>
      <c r="F20" s="5">
        <v>0</v>
      </c>
      <c r="G20" s="5">
        <v>0</v>
      </c>
      <c r="H20" s="5">
        <v>0</v>
      </c>
      <c r="I20" s="5">
        <v>3.7</v>
      </c>
      <c r="J20" s="5">
        <v>14.4</v>
      </c>
      <c r="K20" s="5">
        <v>26.1</v>
      </c>
    </row>
    <row r="21" spans="1:13" hidden="1" outlineLevel="1" x14ac:dyDescent="0.2"/>
    <row r="22" spans="1:13" hidden="1" outlineLevel="1" x14ac:dyDescent="0.2">
      <c r="A22" s="3"/>
      <c r="B22" s="3"/>
      <c r="C22" s="3"/>
      <c r="D22" s="3"/>
      <c r="E22" s="3"/>
      <c r="F22" s="9"/>
    </row>
    <row r="23" spans="1:13" hidden="1" outlineLevel="1" x14ac:dyDescent="0.2">
      <c r="A23" s="3"/>
      <c r="B23" s="3"/>
      <c r="C23" s="3"/>
      <c r="D23" s="3"/>
      <c r="E23" s="3"/>
      <c r="F23" s="9"/>
    </row>
    <row r="24" spans="1:13" collapsed="1" x14ac:dyDescent="0.2">
      <c r="F24" s="1">
        <v>2019</v>
      </c>
      <c r="G24" s="1">
        <v>2020</v>
      </c>
      <c r="H24" s="1">
        <v>2021</v>
      </c>
      <c r="I24" s="1">
        <v>2022</v>
      </c>
      <c r="J24" s="1">
        <v>2023</v>
      </c>
      <c r="K24" s="1">
        <v>2024</v>
      </c>
      <c r="L24" s="1">
        <v>2025</v>
      </c>
      <c r="M24" s="40">
        <v>2026</v>
      </c>
    </row>
    <row r="25" spans="1:13" x14ac:dyDescent="0.2">
      <c r="A25" s="3" t="s">
        <v>28</v>
      </c>
      <c r="B25" s="3"/>
      <c r="C25" s="3"/>
      <c r="D25" s="3" t="s">
        <v>28</v>
      </c>
      <c r="E25" s="3"/>
      <c r="F25" s="29">
        <v>-13329803.680366296</v>
      </c>
      <c r="G25" s="29">
        <v>-9469563.3300000001</v>
      </c>
      <c r="H25" s="29">
        <v>-12928952.659999995</v>
      </c>
      <c r="I25" s="29">
        <v>-11655449.54540973</v>
      </c>
      <c r="J25" s="29">
        <v>-4173940.0018641888</v>
      </c>
      <c r="K25" s="29">
        <v>-1031954.8858327501</v>
      </c>
      <c r="L25" s="29">
        <v>6823290.6191480309</v>
      </c>
      <c r="M25">
        <v>21525956.49670779</v>
      </c>
    </row>
    <row r="26" spans="1:13" x14ac:dyDescent="0.2">
      <c r="A26" s="8" t="s">
        <v>29</v>
      </c>
      <c r="B26" s="8"/>
      <c r="C26" s="8"/>
      <c r="D26" s="8"/>
      <c r="E26" s="8"/>
      <c r="F26" s="29"/>
      <c r="G26" s="35"/>
      <c r="H26" s="35"/>
      <c r="I26" s="35"/>
      <c r="J26" s="35"/>
      <c r="K26" s="35"/>
      <c r="L26" s="35"/>
    </row>
    <row r="27" spans="1:13" x14ac:dyDescent="0.2">
      <c r="A27" s="8" t="s">
        <v>30</v>
      </c>
      <c r="B27" s="8"/>
      <c r="C27" s="8"/>
      <c r="D27" s="8"/>
      <c r="E27" s="8"/>
      <c r="F27" s="30"/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f>K27*(1+F$22)</f>
        <v>0</v>
      </c>
    </row>
    <row r="28" spans="1:13" x14ac:dyDescent="0.2">
      <c r="A28" s="7" t="s">
        <v>31</v>
      </c>
      <c r="B28" s="7"/>
      <c r="C28" s="7"/>
      <c r="D28" s="7"/>
      <c r="E28" s="7"/>
      <c r="F28" s="30"/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f>K28*F22/(K25/J25)</f>
        <v>0</v>
      </c>
    </row>
    <row r="29" spans="1:13" x14ac:dyDescent="0.2">
      <c r="A29" s="7" t="s">
        <v>32</v>
      </c>
      <c r="B29" s="7"/>
      <c r="C29" s="7"/>
      <c r="D29" s="7"/>
      <c r="E29" s="7"/>
      <c r="F29" s="30">
        <v>-13333098.880366296</v>
      </c>
      <c r="G29" s="29">
        <v>-9470051.9100000001</v>
      </c>
      <c r="H29" s="29">
        <v>-12937193.339999994</v>
      </c>
      <c r="I29" s="29">
        <v>-11682682.400464216</v>
      </c>
      <c r="J29" s="29">
        <v>-4856080.1825133283</v>
      </c>
      <c r="K29" s="29">
        <v>-7886795.8671878967</v>
      </c>
      <c r="L29" s="29">
        <v>-14875348.02410705</v>
      </c>
      <c r="M29">
        <v>-15594909.335217478</v>
      </c>
    </row>
    <row r="30" spans="1:13" x14ac:dyDescent="0.2">
      <c r="A30" s="13" t="s">
        <v>33</v>
      </c>
      <c r="E30" s="30">
        <v>15</v>
      </c>
      <c r="M30" s="20">
        <f>E30*M25</f>
        <v>322889347.45061684</v>
      </c>
    </row>
    <row r="32" spans="1:13" x14ac:dyDescent="0.2">
      <c r="A32" s="38" t="s">
        <v>34</v>
      </c>
      <c r="B32" s="39"/>
      <c r="C32" s="39"/>
      <c r="D32" s="39"/>
      <c r="E32" s="34"/>
      <c r="F32" s="31"/>
      <c r="K32" s="10"/>
    </row>
    <row r="33" spans="1:11" x14ac:dyDescent="0.2">
      <c r="A33" s="38" t="s">
        <v>35</v>
      </c>
      <c r="B33" s="39"/>
      <c r="C33" s="39"/>
      <c r="D33" s="39"/>
      <c r="E33" s="34"/>
      <c r="F33" s="31">
        <v>0.3</v>
      </c>
    </row>
    <row r="34" spans="1:11" x14ac:dyDescent="0.2">
      <c r="K34" s="10"/>
    </row>
    <row r="35" spans="1:11" x14ac:dyDescent="0.2">
      <c r="A35" s="26" t="s">
        <v>36</v>
      </c>
      <c r="F35" s="41">
        <f>NPV(F33,I29,J29,K29+M30)</f>
        <v>131518395.12488714</v>
      </c>
    </row>
    <row r="36" spans="1:11" x14ac:dyDescent="0.2">
      <c r="A36" s="7" t="s">
        <v>37</v>
      </c>
      <c r="B36" s="7"/>
      <c r="C36" s="7"/>
      <c r="D36" s="7"/>
      <c r="E36" s="7"/>
      <c r="F36" s="10">
        <v>0</v>
      </c>
    </row>
    <row r="37" spans="1:11" x14ac:dyDescent="0.2">
      <c r="A37" s="7" t="s">
        <v>38</v>
      </c>
      <c r="B37" s="7"/>
      <c r="C37" s="7"/>
      <c r="D37" s="7"/>
      <c r="E37" s="7"/>
      <c r="F37" s="10">
        <v>0</v>
      </c>
      <c r="G37" t="s">
        <v>39</v>
      </c>
    </row>
    <row r="38" spans="1:11" x14ac:dyDescent="0.2">
      <c r="A38" s="25" t="s">
        <v>40</v>
      </c>
      <c r="B38" s="7"/>
      <c r="C38" s="7"/>
      <c r="D38" s="7"/>
      <c r="E38" s="7"/>
      <c r="F38" s="42">
        <f>F35-F36+F37</f>
        <v>131518395.12488714</v>
      </c>
    </row>
    <row r="39" spans="1:11" x14ac:dyDescent="0.2">
      <c r="A39" s="3"/>
      <c r="B39" s="3"/>
      <c r="C39" s="3"/>
      <c r="D39" s="3"/>
      <c r="E39" s="3"/>
      <c r="F39" s="11"/>
    </row>
    <row r="40" spans="1:11" x14ac:dyDescent="0.2">
      <c r="A40" s="13" t="s">
        <v>41</v>
      </c>
      <c r="B40" s="13"/>
      <c r="C40" s="13"/>
      <c r="D40" s="13"/>
      <c r="E40" s="13"/>
      <c r="F40" s="32">
        <v>20000000</v>
      </c>
      <c r="G40">
        <v>5000000</v>
      </c>
    </row>
    <row r="41" spans="1:11" x14ac:dyDescent="0.2">
      <c r="A41" s="13" t="s">
        <v>42</v>
      </c>
      <c r="B41" s="13"/>
      <c r="C41" s="13"/>
      <c r="D41" s="13"/>
      <c r="E41" s="13"/>
      <c r="F41" s="13"/>
    </row>
    <row r="42" spans="1:11" x14ac:dyDescent="0.2">
      <c r="A42" s="13" t="s">
        <v>43</v>
      </c>
      <c r="B42" s="13"/>
      <c r="C42" s="13"/>
      <c r="D42" s="13"/>
      <c r="E42" s="13"/>
    </row>
    <row r="43" spans="1:11" x14ac:dyDescent="0.2">
      <c r="A43" t="s">
        <v>44</v>
      </c>
      <c r="F43" s="32">
        <f>F38+F40</f>
        <v>151518395.12488714</v>
      </c>
    </row>
    <row r="45" spans="1:11" x14ac:dyDescent="0.2">
      <c r="D45" t="s">
        <v>45</v>
      </c>
      <c r="F45" s="21">
        <f>F40/F43</f>
        <v>0.13199717422769197</v>
      </c>
    </row>
    <row r="46" spans="1:11" x14ac:dyDescent="0.2">
      <c r="D46" s="26"/>
    </row>
    <row r="48" spans="1:11" x14ac:dyDescent="0.2">
      <c r="G48" s="13"/>
    </row>
    <row r="49" spans="2:9" x14ac:dyDescent="0.2">
      <c r="B49" s="13" t="s">
        <v>46</v>
      </c>
      <c r="G49" s="13" t="s">
        <v>47</v>
      </c>
      <c r="I49" s="13"/>
    </row>
    <row r="50" spans="2:9" x14ac:dyDescent="0.2">
      <c r="G50" s="13" t="s">
        <v>48</v>
      </c>
      <c r="I50" s="13"/>
    </row>
    <row r="51" spans="2:9" x14ac:dyDescent="0.2">
      <c r="G51" s="13"/>
      <c r="I51" s="13"/>
    </row>
    <row r="52" spans="2:9" x14ac:dyDescent="0.2">
      <c r="E52" s="9"/>
      <c r="F52" s="23"/>
      <c r="G52" s="21"/>
    </row>
    <row r="53" spans="2:9" x14ac:dyDescent="0.2">
      <c r="E53" s="9">
        <v>0.15</v>
      </c>
      <c r="F53" s="23">
        <f>NPV(E53,G$29,H$29,I$29,J$29,K$29+M$30)+$F$40</f>
        <v>148136702.72055438</v>
      </c>
      <c r="G53" s="21">
        <f>G$40/F53</f>
        <v>3.3752607612929107E-2</v>
      </c>
      <c r="I53" s="24"/>
    </row>
    <row r="54" spans="2:9" x14ac:dyDescent="0.2">
      <c r="E54" s="9">
        <v>0.2</v>
      </c>
      <c r="F54" s="23">
        <f t="shared" ref="F54:F56" si="2">NPV(E54,G$29,H$29,I$29,J$29,K$29+M$30)+$F$40</f>
        <v>120613917.41241018</v>
      </c>
      <c r="G54" s="21">
        <f t="shared" ref="G54:G56" si="3">G$40/F54</f>
        <v>4.1454585899102392E-2</v>
      </c>
      <c r="I54" s="24"/>
    </row>
    <row r="55" spans="2:9" x14ac:dyDescent="0.2">
      <c r="E55" s="9">
        <v>0.25</v>
      </c>
      <c r="F55" s="23">
        <f t="shared" si="2"/>
        <v>99393607.005462855</v>
      </c>
      <c r="G55" s="21">
        <f t="shared" si="3"/>
        <v>5.030504627651948E-2</v>
      </c>
      <c r="I55" s="24"/>
    </row>
    <row r="56" spans="2:9" x14ac:dyDescent="0.2">
      <c r="E56" s="9">
        <v>0.3</v>
      </c>
      <c r="F56" s="23">
        <f t="shared" si="2"/>
        <v>82881736.273305982</v>
      </c>
      <c r="G56" s="21">
        <f t="shared" si="3"/>
        <v>6.0326921524813275E-2</v>
      </c>
    </row>
    <row r="58" spans="2:9" x14ac:dyDescent="0.2">
      <c r="B58" s="26"/>
    </row>
  </sheetData>
  <mergeCells count="3">
    <mergeCell ref="A8:D8"/>
    <mergeCell ref="A32:D32"/>
    <mergeCell ref="A33:D33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"/>
  <sheetViews>
    <sheetView topLeftCell="A24" workbookViewId="0">
      <selection activeCell="K31" sqref="K31"/>
    </sheetView>
  </sheetViews>
  <sheetFormatPr defaultRowHeight="12.75" outlineLevelRow="1" x14ac:dyDescent="0.2"/>
  <cols>
    <col min="1" max="1" width="14.42578125" customWidth="1"/>
    <col min="6" max="6" width="22.28515625" bestFit="1" customWidth="1"/>
    <col min="7" max="7" width="18.42578125" customWidth="1"/>
    <col min="8" max="8" width="9.5703125" bestFit="1" customWidth="1"/>
    <col min="9" max="9" width="10.5703125" bestFit="1" customWidth="1"/>
    <col min="10" max="10" width="11.5703125" bestFit="1" customWidth="1"/>
    <col min="11" max="11" width="13" bestFit="1" customWidth="1"/>
    <col min="12" max="12" width="11.5703125" bestFit="1" customWidth="1"/>
  </cols>
  <sheetData>
    <row r="1" spans="1:11" hidden="1" outlineLevel="1" x14ac:dyDescent="0.2">
      <c r="A1" s="14" t="s">
        <v>8</v>
      </c>
      <c r="B1" s="14"/>
      <c r="C1" s="14"/>
      <c r="D1" s="14"/>
      <c r="E1" s="14"/>
      <c r="F1" t="s">
        <v>9</v>
      </c>
    </row>
    <row r="2" spans="1:11" hidden="1" outlineLevel="1" x14ac:dyDescent="0.2">
      <c r="B2" t="s">
        <v>10</v>
      </c>
    </row>
    <row r="3" spans="1:11" hidden="1" outlineLevel="1" x14ac:dyDescent="0.2">
      <c r="A3" s="1" t="s">
        <v>11</v>
      </c>
      <c r="B3" s="17">
        <v>2018</v>
      </c>
      <c r="C3" s="17">
        <v>2019</v>
      </c>
      <c r="D3" s="17">
        <v>2020</v>
      </c>
      <c r="E3" t="s">
        <v>12</v>
      </c>
      <c r="F3" s="1" t="s">
        <v>13</v>
      </c>
      <c r="G3" s="1">
        <v>2022</v>
      </c>
      <c r="H3" s="1">
        <v>2023</v>
      </c>
      <c r="I3" s="1">
        <v>2024</v>
      </c>
      <c r="J3" s="1">
        <v>2025</v>
      </c>
      <c r="K3" s="1">
        <v>2026</v>
      </c>
    </row>
    <row r="4" spans="1:11" hidden="1" outlineLevel="1" x14ac:dyDescent="0.2">
      <c r="A4" s="2" t="s">
        <v>14</v>
      </c>
      <c r="B4" s="5">
        <v>11.7</v>
      </c>
      <c r="C4" s="5">
        <v>15.6</v>
      </c>
      <c r="D4" s="5">
        <v>20</v>
      </c>
      <c r="E4" s="5">
        <v>25</v>
      </c>
      <c r="F4" s="5">
        <v>37.299999999999997</v>
      </c>
      <c r="G4" s="5">
        <v>55</v>
      </c>
      <c r="H4" s="5">
        <v>75</v>
      </c>
      <c r="I4" s="5">
        <v>90</v>
      </c>
      <c r="J4" s="5">
        <v>105</v>
      </c>
      <c r="K4" s="5">
        <v>120</v>
      </c>
    </row>
    <row r="5" spans="1:11" hidden="1" outlineLevel="1" x14ac:dyDescent="0.2">
      <c r="A5" s="2" t="s">
        <v>15</v>
      </c>
      <c r="B5" s="5">
        <v>0</v>
      </c>
      <c r="C5" s="5">
        <v>0</v>
      </c>
      <c r="D5" s="5">
        <v>0</v>
      </c>
      <c r="E5" s="5">
        <v>2</v>
      </c>
      <c r="F5" s="5">
        <v>5</v>
      </c>
      <c r="G5" s="5">
        <v>8</v>
      </c>
      <c r="H5" s="5">
        <v>20</v>
      </c>
      <c r="I5" s="5">
        <v>22.8</v>
      </c>
      <c r="J5" s="5">
        <v>24.1</v>
      </c>
      <c r="K5" s="5">
        <v>25.7</v>
      </c>
    </row>
    <row r="6" spans="1:11" ht="24" hidden="1" outlineLevel="1" x14ac:dyDescent="0.2">
      <c r="A6" s="2" t="s">
        <v>16</v>
      </c>
      <c r="B6" s="15">
        <f t="shared" ref="B6:K6" si="0">B5/B4</f>
        <v>0</v>
      </c>
      <c r="C6" s="15">
        <f t="shared" si="0"/>
        <v>0</v>
      </c>
      <c r="D6" s="15">
        <f t="shared" si="0"/>
        <v>0</v>
      </c>
      <c r="E6" s="15">
        <f t="shared" si="0"/>
        <v>0.08</v>
      </c>
      <c r="F6" s="15">
        <f t="shared" si="0"/>
        <v>0.13404825737265416</v>
      </c>
      <c r="G6" s="15">
        <f t="shared" si="0"/>
        <v>0.14545454545454545</v>
      </c>
      <c r="H6" s="15">
        <f t="shared" si="0"/>
        <v>0.26666666666666666</v>
      </c>
      <c r="I6" s="15">
        <f t="shared" si="0"/>
        <v>0.25333333333333335</v>
      </c>
      <c r="J6" s="15">
        <f t="shared" si="0"/>
        <v>0.22952380952380955</v>
      </c>
      <c r="K6" s="15">
        <f t="shared" si="0"/>
        <v>0.21416666666666667</v>
      </c>
    </row>
    <row r="7" spans="1:11" ht="21.75" hidden="1" customHeight="1" outlineLevel="1" x14ac:dyDescent="0.2">
      <c r="A7" s="17" t="s">
        <v>17</v>
      </c>
      <c r="B7" s="13"/>
      <c r="C7" s="13"/>
      <c r="D7" s="13"/>
      <c r="E7" s="13"/>
      <c r="F7" s="22">
        <f>F4/E4 - 1</f>
        <v>0.49199999999999999</v>
      </c>
      <c r="G7" s="22">
        <f>G4/F4-1</f>
        <v>0.4745308310991958</v>
      </c>
      <c r="H7" s="22">
        <f>H4/G4-1</f>
        <v>0.36363636363636354</v>
      </c>
      <c r="I7" s="22">
        <f>I4/H4-1</f>
        <v>0.19999999999999996</v>
      </c>
      <c r="J7" s="22">
        <f>J4/I4-1</f>
        <v>0.16666666666666674</v>
      </c>
      <c r="K7" s="22">
        <f>K4/J4-1</f>
        <v>0.14285714285714279</v>
      </c>
    </row>
    <row r="8" spans="1:11" ht="24" hidden="1" customHeight="1" outlineLevel="1" x14ac:dyDescent="0.2">
      <c r="A8" s="36" t="s">
        <v>18</v>
      </c>
      <c r="B8" s="37"/>
      <c r="C8" s="37"/>
      <c r="D8" s="37"/>
      <c r="F8" s="16">
        <f>F4/$E$4 - 1</f>
        <v>0.49199999999999999</v>
      </c>
      <c r="G8" s="16">
        <f>(G4/$E$4)^(1/2) - 1</f>
        <v>0.48323969741913264</v>
      </c>
      <c r="H8" s="16">
        <f>(H4/$E$4)^(1/3) - 1</f>
        <v>0.4422495703074083</v>
      </c>
      <c r="I8" s="16">
        <f>(I4/$E$4)^(1/4) - 1</f>
        <v>0.37744930799685972</v>
      </c>
      <c r="J8" s="16">
        <f>(J4/$E$4)^(1/5) - 1</f>
        <v>0.33244673837449668</v>
      </c>
      <c r="K8" s="16">
        <f>(K4/$E$4)^(1/6) - 1</f>
        <v>0.29879379833886577</v>
      </c>
    </row>
    <row r="9" spans="1:11" hidden="1" outlineLevel="1" x14ac:dyDescent="0.2">
      <c r="A9" s="2" t="s">
        <v>19</v>
      </c>
      <c r="B9" s="19"/>
      <c r="C9" s="19"/>
      <c r="D9" s="19"/>
      <c r="E9" s="19"/>
      <c r="F9" s="19">
        <v>5</v>
      </c>
      <c r="G9" s="5">
        <v>9</v>
      </c>
      <c r="H9" s="5">
        <f>H4*H10</f>
        <v>22.349999999999998</v>
      </c>
      <c r="I9" s="5">
        <f>I4*I10</f>
        <v>26.82</v>
      </c>
      <c r="J9" s="5">
        <f>J4*J10</f>
        <v>31.29</v>
      </c>
      <c r="K9" s="5">
        <f>K4*K10</f>
        <v>35.76</v>
      </c>
    </row>
    <row r="10" spans="1:11" hidden="1" outlineLevel="1" x14ac:dyDescent="0.2">
      <c r="A10" s="2" t="s">
        <v>20</v>
      </c>
      <c r="B10" s="18">
        <v>0</v>
      </c>
      <c r="C10" s="18">
        <v>0</v>
      </c>
      <c r="D10" s="18">
        <v>0</v>
      </c>
      <c r="E10" s="18">
        <f>E9/E4</f>
        <v>0</v>
      </c>
      <c r="F10" s="18">
        <f>F9/F4</f>
        <v>0.13404825737265416</v>
      </c>
      <c r="G10" s="18">
        <f>G9/G4</f>
        <v>0.16363636363636364</v>
      </c>
      <c r="H10" s="18">
        <v>0.29799999999999999</v>
      </c>
      <c r="I10" s="18">
        <v>0.29799999999999999</v>
      </c>
      <c r="J10" s="18">
        <v>0.29799999999999999</v>
      </c>
      <c r="K10" s="18">
        <v>0.29799999999999999</v>
      </c>
    </row>
    <row r="11" spans="1:11" hidden="1" outlineLevel="1" x14ac:dyDescent="0.2">
      <c r="A11" s="2"/>
      <c r="F11" s="5"/>
      <c r="G11" s="16"/>
      <c r="H11" s="16"/>
      <c r="I11" s="16"/>
      <c r="J11" s="16"/>
      <c r="K11" s="16"/>
    </row>
    <row r="12" spans="1:11" hidden="1" outlineLevel="1" x14ac:dyDescent="0.2">
      <c r="A12" s="2" t="s">
        <v>21</v>
      </c>
      <c r="B12" s="5">
        <v>0</v>
      </c>
      <c r="C12" s="5">
        <v>0</v>
      </c>
      <c r="D12" s="5">
        <v>0</v>
      </c>
      <c r="E12" s="5">
        <v>2</v>
      </c>
      <c r="F12" s="5">
        <f t="shared" ref="F12:K12" si="1">F9</f>
        <v>5</v>
      </c>
      <c r="G12" s="5">
        <f t="shared" si="1"/>
        <v>9</v>
      </c>
      <c r="H12" s="5">
        <f t="shared" si="1"/>
        <v>22.349999999999998</v>
      </c>
      <c r="I12" s="5">
        <f t="shared" si="1"/>
        <v>26.82</v>
      </c>
      <c r="J12" s="5">
        <f t="shared" si="1"/>
        <v>31.29</v>
      </c>
      <c r="K12" s="5">
        <f t="shared" si="1"/>
        <v>35.76</v>
      </c>
    </row>
    <row r="13" spans="1:11" hidden="1" outlineLevel="1" x14ac:dyDescent="0.2">
      <c r="A13" s="2"/>
      <c r="F13" s="5"/>
      <c r="G13" s="5"/>
      <c r="H13" s="5"/>
      <c r="I13" s="5"/>
      <c r="J13" s="5"/>
      <c r="K13" s="5"/>
    </row>
    <row r="14" spans="1:11" ht="24" hidden="1" outlineLevel="1" x14ac:dyDescent="0.2">
      <c r="A14" s="2" t="s">
        <v>22</v>
      </c>
      <c r="B14" s="5">
        <v>0.1</v>
      </c>
      <c r="C14" s="5">
        <v>0.1</v>
      </c>
      <c r="D14" s="5">
        <v>0.1</v>
      </c>
      <c r="E14" s="5">
        <v>0.1</v>
      </c>
      <c r="F14" s="5">
        <v>0.1</v>
      </c>
      <c r="G14" s="5">
        <v>0.5</v>
      </c>
      <c r="H14" s="5">
        <v>0.5</v>
      </c>
      <c r="I14" s="5">
        <v>0.5</v>
      </c>
      <c r="J14" s="5">
        <v>0.5</v>
      </c>
      <c r="K14" s="5">
        <v>0.5</v>
      </c>
    </row>
    <row r="15" spans="1:11" hidden="1" outlineLevel="1" x14ac:dyDescent="0.2">
      <c r="A15" s="3"/>
      <c r="B15" s="3"/>
      <c r="C15" s="3"/>
      <c r="D15" s="3"/>
      <c r="E15" s="3"/>
      <c r="F15" s="5"/>
      <c r="G15" s="5"/>
      <c r="H15" s="5"/>
      <c r="I15" s="5"/>
      <c r="J15" s="5"/>
      <c r="K15" s="5"/>
    </row>
    <row r="16" spans="1:11" ht="36" hidden="1" outlineLevel="1" x14ac:dyDescent="0.2">
      <c r="A16" s="4" t="s">
        <v>23</v>
      </c>
      <c r="B16" s="4"/>
      <c r="C16" s="4"/>
      <c r="D16" s="4"/>
      <c r="E16" s="4"/>
      <c r="F16" s="6"/>
      <c r="G16" s="6"/>
      <c r="H16" s="6"/>
      <c r="I16" s="6"/>
      <c r="J16" s="6"/>
      <c r="K16" s="6"/>
    </row>
    <row r="17" spans="1:12" hidden="1" outlineLevel="1" x14ac:dyDescent="0.2">
      <c r="A17" s="3"/>
      <c r="B17" s="3"/>
      <c r="C17" s="3"/>
      <c r="D17" s="3"/>
      <c r="E17" s="3"/>
      <c r="F17" s="5"/>
      <c r="G17" s="5"/>
      <c r="H17" s="5"/>
      <c r="I17" s="5"/>
      <c r="J17" s="5"/>
      <c r="K17" s="5"/>
    </row>
    <row r="18" spans="1:12" ht="36" hidden="1" outlineLevel="1" x14ac:dyDescent="0.2">
      <c r="A18" s="3" t="s">
        <v>24</v>
      </c>
      <c r="B18" s="3"/>
      <c r="C18" s="3"/>
      <c r="D18" s="3"/>
      <c r="E18" s="3"/>
      <c r="F18" s="5">
        <v>2.9</v>
      </c>
      <c r="G18" s="5">
        <v>5.3</v>
      </c>
      <c r="H18" s="5">
        <f>H19*H4</f>
        <v>7.2272727272727266</v>
      </c>
      <c r="I18" s="5">
        <f>I19*I4</f>
        <v>8.672727272727272</v>
      </c>
      <c r="J18" s="5">
        <f>J19*J4</f>
        <v>10.118181818181817</v>
      </c>
      <c r="K18" s="5">
        <f>K19*K4</f>
        <v>11.563636363636363</v>
      </c>
    </row>
    <row r="19" spans="1:12" hidden="1" outlineLevel="1" x14ac:dyDescent="0.2">
      <c r="A19" s="3" t="s">
        <v>25</v>
      </c>
      <c r="B19" s="3"/>
      <c r="C19" s="3"/>
      <c r="D19" s="3"/>
      <c r="E19" s="3"/>
      <c r="F19" s="16">
        <f>F18/F4</f>
        <v>7.774798927613942E-2</v>
      </c>
      <c r="G19" s="16">
        <f>G18/G4</f>
        <v>9.636363636363636E-2</v>
      </c>
      <c r="H19" s="16">
        <f>G19</f>
        <v>9.636363636363636E-2</v>
      </c>
      <c r="I19" s="16">
        <f>H19</f>
        <v>9.636363636363636E-2</v>
      </c>
      <c r="J19" s="16">
        <f>I19</f>
        <v>9.636363636363636E-2</v>
      </c>
      <c r="K19" s="16">
        <f>J19</f>
        <v>9.636363636363636E-2</v>
      </c>
    </row>
    <row r="20" spans="1:12" hidden="1" outlineLevel="1" x14ac:dyDescent="0.2">
      <c r="A20" s="3" t="s">
        <v>26</v>
      </c>
      <c r="B20" s="3"/>
      <c r="C20" s="3"/>
      <c r="D20" s="3"/>
      <c r="E20" s="3"/>
      <c r="F20" s="5">
        <v>0</v>
      </c>
      <c r="G20" s="5">
        <v>0</v>
      </c>
      <c r="H20" s="5">
        <v>0</v>
      </c>
      <c r="I20" s="5">
        <v>3.7</v>
      </c>
      <c r="J20" s="5">
        <v>14.4</v>
      </c>
      <c r="K20" s="5">
        <v>26.1</v>
      </c>
    </row>
    <row r="21" spans="1:12" hidden="1" outlineLevel="1" x14ac:dyDescent="0.2"/>
    <row r="22" spans="1:12" hidden="1" outlineLevel="1" x14ac:dyDescent="0.2">
      <c r="A22" s="3"/>
      <c r="B22" s="3"/>
      <c r="C22" s="3"/>
      <c r="D22" s="3"/>
      <c r="E22" s="3"/>
      <c r="F22" s="9"/>
    </row>
    <row r="23" spans="1:12" hidden="1" outlineLevel="1" x14ac:dyDescent="0.2">
      <c r="A23" s="3"/>
      <c r="B23" s="3"/>
      <c r="C23" s="3"/>
      <c r="D23" s="3"/>
      <c r="E23" s="3"/>
      <c r="F23" s="9"/>
    </row>
    <row r="24" spans="1:12" collapsed="1" x14ac:dyDescent="0.2">
      <c r="F24" s="1" t="str">
        <f t="shared" ref="F24:K24" si="2">F3</f>
        <v>2021E</v>
      </c>
      <c r="G24" s="1">
        <f t="shared" si="2"/>
        <v>2022</v>
      </c>
      <c r="H24" s="1">
        <f t="shared" si="2"/>
        <v>2023</v>
      </c>
      <c r="I24" s="1">
        <f t="shared" si="2"/>
        <v>2024</v>
      </c>
      <c r="J24" s="1">
        <f t="shared" si="2"/>
        <v>2025</v>
      </c>
      <c r="K24" s="1">
        <f t="shared" si="2"/>
        <v>2026</v>
      </c>
      <c r="L24" s="1" t="s">
        <v>27</v>
      </c>
    </row>
    <row r="25" spans="1:12" x14ac:dyDescent="0.2">
      <c r="A25" s="3" t="s">
        <v>28</v>
      </c>
      <c r="B25" s="3"/>
      <c r="C25" s="3"/>
      <c r="D25" s="3"/>
      <c r="E25" s="3"/>
      <c r="F25" s="29">
        <v>-12928952.659999995</v>
      </c>
      <c r="G25" s="29">
        <v>-11671359.792584101</v>
      </c>
      <c r="H25" s="29">
        <v>1997235.5548744784</v>
      </c>
      <c r="I25" s="29">
        <v>32886863.446294881</v>
      </c>
      <c r="J25" s="29">
        <v>103812851.23884565</v>
      </c>
      <c r="K25" s="29">
        <v>177497817.81870025</v>
      </c>
      <c r="L25" s="29">
        <f>K25*(1+F$22)</f>
        <v>177497817.81870025</v>
      </c>
    </row>
    <row r="26" spans="1:12" x14ac:dyDescent="0.2">
      <c r="A26" s="8" t="s">
        <v>29</v>
      </c>
      <c r="B26" s="8"/>
      <c r="C26" s="8"/>
      <c r="D26" s="8"/>
      <c r="E26" s="8"/>
      <c r="F26" s="29"/>
      <c r="G26" s="35"/>
      <c r="H26" s="35"/>
      <c r="I26" s="35"/>
      <c r="J26" s="35"/>
      <c r="K26" s="35"/>
      <c r="L26" s="35"/>
    </row>
    <row r="27" spans="1:12" x14ac:dyDescent="0.2">
      <c r="A27" s="8" t="s">
        <v>30</v>
      </c>
      <c r="B27" s="8"/>
      <c r="C27" s="8"/>
      <c r="D27" s="8"/>
      <c r="E27" s="8"/>
      <c r="F27" s="30"/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f>K27*(1+F$22)</f>
        <v>0</v>
      </c>
    </row>
    <row r="28" spans="1:12" x14ac:dyDescent="0.2">
      <c r="A28" s="7" t="s">
        <v>31</v>
      </c>
      <c r="B28" s="7"/>
      <c r="C28" s="7"/>
      <c r="D28" s="7"/>
      <c r="E28" s="7"/>
      <c r="F28" s="30"/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f>K28*F22/(K25/J25)</f>
        <v>0</v>
      </c>
    </row>
    <row r="29" spans="1:12" x14ac:dyDescent="0.2">
      <c r="A29" s="7" t="s">
        <v>32</v>
      </c>
      <c r="B29" s="7"/>
      <c r="C29" s="7"/>
      <c r="D29" s="7"/>
      <c r="E29" s="7"/>
      <c r="F29" s="30"/>
      <c r="G29" s="29">
        <f t="shared" ref="G29:L29" si="3">G25-G26-G27-G28</f>
        <v>-11671359.792584101</v>
      </c>
      <c r="H29" s="29">
        <f t="shared" si="3"/>
        <v>1997235.5548744784</v>
      </c>
      <c r="I29" s="29">
        <f t="shared" si="3"/>
        <v>32886863.446294881</v>
      </c>
      <c r="J29" s="29">
        <f t="shared" si="3"/>
        <v>103812851.23884565</v>
      </c>
      <c r="K29" s="29">
        <f t="shared" si="3"/>
        <v>177497817.81870025</v>
      </c>
      <c r="L29" s="29">
        <f t="shared" si="3"/>
        <v>177497817.81870025</v>
      </c>
    </row>
    <row r="30" spans="1:12" x14ac:dyDescent="0.2">
      <c r="A30" s="13" t="s">
        <v>33</v>
      </c>
      <c r="E30" s="30">
        <v>3.4</v>
      </c>
      <c r="K30" s="20">
        <f>E30*K29</f>
        <v>603492580.58358085</v>
      </c>
    </row>
    <row r="32" spans="1:12" x14ac:dyDescent="0.2">
      <c r="A32" s="38" t="s">
        <v>34</v>
      </c>
      <c r="B32" s="39"/>
      <c r="C32" s="39"/>
      <c r="D32" s="39"/>
      <c r="E32" s="27"/>
      <c r="F32" s="31">
        <f>'Cost of Capital'!B10</f>
        <v>0.12807303370786516</v>
      </c>
      <c r="K32" s="10"/>
    </row>
    <row r="33" spans="1:11" x14ac:dyDescent="0.2">
      <c r="A33" s="38" t="s">
        <v>35</v>
      </c>
      <c r="B33" s="39"/>
      <c r="C33" s="39"/>
      <c r="D33" s="39"/>
      <c r="E33" s="27"/>
      <c r="F33" s="31">
        <f>F32*1.2</f>
        <v>0.1536876404494382</v>
      </c>
    </row>
    <row r="34" spans="1:11" x14ac:dyDescent="0.2">
      <c r="K34" s="10"/>
    </row>
    <row r="35" spans="1:11" x14ac:dyDescent="0.2">
      <c r="A35" s="26" t="s">
        <v>36</v>
      </c>
      <c r="F35" s="10">
        <f>NPV(F33,G29,H29,I29,J29,K29+K30)</f>
        <v>453525176.37884313</v>
      </c>
    </row>
    <row r="36" spans="1:11" x14ac:dyDescent="0.2">
      <c r="A36" s="7" t="s">
        <v>37</v>
      </c>
      <c r="B36" s="7"/>
      <c r="C36" s="7"/>
      <c r="D36" s="7"/>
      <c r="E36" s="7"/>
      <c r="F36" s="10">
        <v>0</v>
      </c>
    </row>
    <row r="37" spans="1:11" x14ac:dyDescent="0.2">
      <c r="A37" s="7" t="s">
        <v>38</v>
      </c>
      <c r="B37" s="7"/>
      <c r="C37" s="7"/>
      <c r="D37" s="7"/>
      <c r="E37" s="7"/>
      <c r="F37" s="10">
        <v>0</v>
      </c>
      <c r="G37" t="s">
        <v>39</v>
      </c>
    </row>
    <row r="38" spans="1:11" x14ac:dyDescent="0.2">
      <c r="A38" s="25" t="s">
        <v>40</v>
      </c>
      <c r="B38" s="7"/>
      <c r="C38" s="7"/>
      <c r="D38" s="7"/>
      <c r="E38" s="7"/>
      <c r="F38" s="10">
        <f>F35-F36+F37</f>
        <v>453525176.37884313</v>
      </c>
    </row>
    <row r="39" spans="1:11" x14ac:dyDescent="0.2">
      <c r="A39" s="3"/>
      <c r="B39" s="3"/>
      <c r="C39" s="3"/>
      <c r="D39" s="3"/>
      <c r="E39" s="3"/>
      <c r="F39" s="11"/>
    </row>
    <row r="40" spans="1:11" x14ac:dyDescent="0.2">
      <c r="A40" s="13" t="s">
        <v>41</v>
      </c>
      <c r="B40" s="13"/>
      <c r="C40" s="13"/>
      <c r="D40" s="13"/>
      <c r="E40" s="13"/>
      <c r="F40" s="32">
        <v>5000000</v>
      </c>
    </row>
    <row r="41" spans="1:11" x14ac:dyDescent="0.2">
      <c r="A41" s="13" t="s">
        <v>42</v>
      </c>
      <c r="B41" s="13"/>
      <c r="C41" s="13"/>
      <c r="D41" s="13"/>
      <c r="E41" s="13"/>
      <c r="F41" s="13"/>
    </row>
    <row r="42" spans="1:11" x14ac:dyDescent="0.2">
      <c r="A42" s="13" t="s">
        <v>43</v>
      </c>
      <c r="B42" s="13"/>
      <c r="C42" s="13"/>
      <c r="D42" s="13"/>
      <c r="E42" s="13"/>
    </row>
    <row r="43" spans="1:11" x14ac:dyDescent="0.2">
      <c r="A43" t="s">
        <v>44</v>
      </c>
      <c r="F43" s="32">
        <f>F38+F40</f>
        <v>458525176.37884313</v>
      </c>
    </row>
    <row r="45" spans="1:11" x14ac:dyDescent="0.2">
      <c r="D45" t="s">
        <v>45</v>
      </c>
      <c r="F45" s="21">
        <f>F40/F43</f>
        <v>1.0904526637963485E-2</v>
      </c>
    </row>
    <row r="46" spans="1:11" x14ac:dyDescent="0.2">
      <c r="D46" s="26"/>
    </row>
    <row r="48" spans="1:11" x14ac:dyDescent="0.2">
      <c r="G48" s="13"/>
    </row>
    <row r="49" spans="2:9" x14ac:dyDescent="0.2">
      <c r="B49" s="13" t="s">
        <v>46</v>
      </c>
      <c r="G49" s="13" t="s">
        <v>47</v>
      </c>
      <c r="I49" s="13"/>
    </row>
    <row r="50" spans="2:9" x14ac:dyDescent="0.2">
      <c r="G50" s="13" t="s">
        <v>48</v>
      </c>
      <c r="I50" s="13"/>
    </row>
    <row r="51" spans="2:9" x14ac:dyDescent="0.2">
      <c r="G51" s="13"/>
      <c r="I51" s="13"/>
    </row>
    <row r="52" spans="2:9" x14ac:dyDescent="0.2">
      <c r="E52" s="9"/>
      <c r="F52" s="23"/>
      <c r="G52" s="21"/>
    </row>
    <row r="53" spans="2:9" x14ac:dyDescent="0.2">
      <c r="E53" s="9">
        <v>0.15</v>
      </c>
      <c r="F53" s="23">
        <f>NPV(E53,G$29,H$29,I$29,J$29,K$29+K$30) + F$37 +$F$40</f>
        <v>465630426.25837451</v>
      </c>
      <c r="G53" s="21">
        <f>F$40/F53</f>
        <v>1.0738129894513252E-2</v>
      </c>
      <c r="I53" s="24"/>
    </row>
    <row r="54" spans="2:9" x14ac:dyDescent="0.2">
      <c r="E54" s="9">
        <v>0.2</v>
      </c>
      <c r="F54" s="23">
        <f>NPV(E54,G$29,H$29,I$29,J$29,K$29+K$30) + F$37 +$F$40</f>
        <v>379619178.65245676</v>
      </c>
      <c r="G54" s="21">
        <f>F$40/F54</f>
        <v>1.317109429968375E-2</v>
      </c>
      <c r="I54" s="24"/>
    </row>
    <row r="55" spans="2:9" x14ac:dyDescent="0.2">
      <c r="E55" s="9">
        <v>0.25</v>
      </c>
      <c r="F55" s="23">
        <f>NPV(E55,G$29,H$29,I$29,J$29,K$29+K$30) + F$37 +$F$40</f>
        <v>312215894.62144601</v>
      </c>
      <c r="G55" s="21">
        <f>F$40/F55</f>
        <v>1.6014559431903285E-2</v>
      </c>
      <c r="I55" s="24"/>
    </row>
    <row r="56" spans="2:9" x14ac:dyDescent="0.2">
      <c r="E56" s="9">
        <v>0.3</v>
      </c>
      <c r="F56" s="23">
        <f>NPV(E56,G$29,H$29,I$29,J$29,K$29+K$30) + F$37 +$F$40</f>
        <v>258863999.60340706</v>
      </c>
      <c r="G56" s="21">
        <f>F$40/F56</f>
        <v>1.9315161658864332E-2</v>
      </c>
    </row>
    <row r="58" spans="2:9" x14ac:dyDescent="0.2">
      <c r="B58" s="26"/>
    </row>
  </sheetData>
  <mergeCells count="3">
    <mergeCell ref="A8:D8"/>
    <mergeCell ref="A32:D32"/>
    <mergeCell ref="A33:D33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8"/>
  <sheetViews>
    <sheetView workbookViewId="0">
      <selection activeCell="E30" sqref="E30"/>
    </sheetView>
  </sheetViews>
  <sheetFormatPr defaultRowHeight="12.75" x14ac:dyDescent="0.2"/>
  <cols>
    <col min="1" max="1" width="14.42578125" customWidth="1"/>
  </cols>
  <sheetData>
    <row r="1" spans="1:11" x14ac:dyDescent="0.2">
      <c r="A1" s="14" t="s">
        <v>8</v>
      </c>
      <c r="B1" s="14"/>
      <c r="C1" s="14"/>
      <c r="D1" s="14"/>
      <c r="E1" s="14"/>
      <c r="F1" t="s">
        <v>9</v>
      </c>
    </row>
    <row r="2" spans="1:11" x14ac:dyDescent="0.2">
      <c r="B2" t="s">
        <v>10</v>
      </c>
    </row>
    <row r="3" spans="1:11" x14ac:dyDescent="0.2">
      <c r="A3" s="1" t="s">
        <v>11</v>
      </c>
      <c r="B3" s="17">
        <v>2018</v>
      </c>
      <c r="C3" s="17">
        <v>2019</v>
      </c>
      <c r="D3" s="17">
        <v>2020</v>
      </c>
      <c r="E3" t="s">
        <v>12</v>
      </c>
      <c r="F3" s="1" t="s">
        <v>13</v>
      </c>
      <c r="G3" s="1">
        <v>2022</v>
      </c>
      <c r="H3" s="1">
        <v>2023</v>
      </c>
      <c r="I3" s="1">
        <v>2024</v>
      </c>
      <c r="J3" s="1">
        <v>2025</v>
      </c>
      <c r="K3" s="1">
        <v>2026</v>
      </c>
    </row>
    <row r="4" spans="1:11" x14ac:dyDescent="0.2">
      <c r="A4" s="2" t="s">
        <v>14</v>
      </c>
      <c r="B4" s="5">
        <v>11.7</v>
      </c>
      <c r="C4" s="5">
        <v>15.6</v>
      </c>
      <c r="D4" s="5">
        <v>20</v>
      </c>
      <c r="E4" s="5">
        <v>25</v>
      </c>
      <c r="F4" s="5">
        <v>37.299999999999997</v>
      </c>
      <c r="G4" s="5">
        <v>55</v>
      </c>
      <c r="H4" s="5">
        <v>75</v>
      </c>
      <c r="I4" s="5">
        <v>90</v>
      </c>
      <c r="J4" s="5">
        <v>105</v>
      </c>
      <c r="K4" s="5">
        <v>120</v>
      </c>
    </row>
    <row r="5" spans="1:11" x14ac:dyDescent="0.2">
      <c r="A5" s="2" t="s">
        <v>15</v>
      </c>
      <c r="B5" s="5">
        <v>0</v>
      </c>
      <c r="C5" s="5">
        <v>0</v>
      </c>
      <c r="D5" s="5">
        <v>0</v>
      </c>
      <c r="E5" s="5">
        <v>2</v>
      </c>
      <c r="F5" s="5">
        <v>5</v>
      </c>
      <c r="G5" s="5">
        <v>8</v>
      </c>
      <c r="H5" s="5">
        <v>20</v>
      </c>
      <c r="I5" s="5">
        <v>22.8</v>
      </c>
      <c r="J5" s="5">
        <v>24.1</v>
      </c>
      <c r="K5" s="5">
        <v>25.7</v>
      </c>
    </row>
    <row r="6" spans="1:11" ht="24" x14ac:dyDescent="0.2">
      <c r="A6" s="2" t="s">
        <v>16</v>
      </c>
      <c r="B6" s="15">
        <f t="shared" ref="B6:K6" si="0">B5/B4</f>
        <v>0</v>
      </c>
      <c r="C6" s="15">
        <f t="shared" si="0"/>
        <v>0</v>
      </c>
      <c r="D6" s="15">
        <f t="shared" si="0"/>
        <v>0</v>
      </c>
      <c r="E6" s="15">
        <f t="shared" si="0"/>
        <v>0.08</v>
      </c>
      <c r="F6" s="15">
        <f t="shared" si="0"/>
        <v>0.13404825737265416</v>
      </c>
      <c r="G6" s="15">
        <f t="shared" si="0"/>
        <v>0.14545454545454545</v>
      </c>
      <c r="H6" s="15">
        <f t="shared" si="0"/>
        <v>0.26666666666666666</v>
      </c>
      <c r="I6" s="15">
        <f t="shared" si="0"/>
        <v>0.25333333333333335</v>
      </c>
      <c r="J6" s="15">
        <f t="shared" si="0"/>
        <v>0.22952380952380955</v>
      </c>
      <c r="K6" s="15">
        <f t="shared" si="0"/>
        <v>0.21416666666666667</v>
      </c>
    </row>
    <row r="7" spans="1:11" ht="21.75" customHeight="1" x14ac:dyDescent="0.2">
      <c r="A7" s="17" t="s">
        <v>17</v>
      </c>
      <c r="B7" s="13"/>
      <c r="C7" s="13"/>
      <c r="D7" s="13"/>
      <c r="E7" s="13"/>
      <c r="F7" s="22">
        <f>F4/E4 - 1</f>
        <v>0.49199999999999999</v>
      </c>
      <c r="G7" s="22">
        <f>G4/F4-1</f>
        <v>0.4745308310991958</v>
      </c>
      <c r="H7" s="22">
        <f>H4/G4-1</f>
        <v>0.36363636363636354</v>
      </c>
      <c r="I7" s="22">
        <f>I4/H4-1</f>
        <v>0.19999999999999996</v>
      </c>
      <c r="J7" s="22">
        <f>J4/I4-1</f>
        <v>0.16666666666666674</v>
      </c>
      <c r="K7" s="22">
        <f>K4/J4-1</f>
        <v>0.14285714285714279</v>
      </c>
    </row>
    <row r="8" spans="1:11" ht="24" customHeight="1" x14ac:dyDescent="0.2">
      <c r="A8" s="36" t="s">
        <v>18</v>
      </c>
      <c r="B8" s="37"/>
      <c r="C8" s="37"/>
      <c r="D8" s="37"/>
      <c r="F8" s="16">
        <f>F4/$E$4 - 1</f>
        <v>0.49199999999999999</v>
      </c>
      <c r="G8" s="16">
        <f>(G4/$E$4)^(1/2) - 1</f>
        <v>0.48323969741913264</v>
      </c>
      <c r="H8" s="16">
        <f>(H4/$E$4)^(1/3) - 1</f>
        <v>0.4422495703074083</v>
      </c>
      <c r="I8" s="16">
        <f>(I4/$E$4)^(1/4) - 1</f>
        <v>0.37744930799685972</v>
      </c>
      <c r="J8" s="16">
        <f>(J4/$E$4)^(1/5) - 1</f>
        <v>0.33244673837449668</v>
      </c>
      <c r="K8" s="16">
        <f>(K4/$E$4)^(1/6) - 1</f>
        <v>0.29879379833886577</v>
      </c>
    </row>
    <row r="9" spans="1:11" x14ac:dyDescent="0.2">
      <c r="A9" s="2" t="s">
        <v>19</v>
      </c>
      <c r="B9" s="19"/>
      <c r="C9" s="19"/>
      <c r="D9" s="19"/>
      <c r="E9" s="19"/>
      <c r="F9" s="19">
        <v>5</v>
      </c>
      <c r="G9" s="5">
        <v>9</v>
      </c>
      <c r="H9" s="5">
        <f>H4*H10</f>
        <v>22.349999999999998</v>
      </c>
      <c r="I9" s="5">
        <f>I4*I10</f>
        <v>26.82</v>
      </c>
      <c r="J9" s="5">
        <f>J4*J10</f>
        <v>31.29</v>
      </c>
      <c r="K9" s="5">
        <f>K4*K10</f>
        <v>35.76</v>
      </c>
    </row>
    <row r="10" spans="1:11" x14ac:dyDescent="0.2">
      <c r="A10" s="2" t="s">
        <v>20</v>
      </c>
      <c r="B10" s="18">
        <v>0</v>
      </c>
      <c r="C10" s="18">
        <v>0</v>
      </c>
      <c r="D10" s="18">
        <v>0</v>
      </c>
      <c r="E10" s="18">
        <f>E9/E4</f>
        <v>0</v>
      </c>
      <c r="F10" s="18">
        <f>F9/F4</f>
        <v>0.13404825737265416</v>
      </c>
      <c r="G10" s="18">
        <f>G9/G4</f>
        <v>0.16363636363636364</v>
      </c>
      <c r="H10" s="18">
        <v>0.29799999999999999</v>
      </c>
      <c r="I10" s="18">
        <v>0.29799999999999999</v>
      </c>
      <c r="J10" s="18">
        <v>0.29799999999999999</v>
      </c>
      <c r="K10" s="18">
        <v>0.29799999999999999</v>
      </c>
    </row>
    <row r="11" spans="1:11" x14ac:dyDescent="0.2">
      <c r="A11" s="2"/>
      <c r="F11" s="5"/>
      <c r="G11" s="16"/>
      <c r="H11" s="16"/>
      <c r="I11" s="16"/>
      <c r="J11" s="16"/>
      <c r="K11" s="16"/>
    </row>
    <row r="12" spans="1:11" x14ac:dyDescent="0.2">
      <c r="A12" s="2" t="s">
        <v>21</v>
      </c>
      <c r="B12" s="5">
        <v>0</v>
      </c>
      <c r="C12" s="5">
        <v>0</v>
      </c>
      <c r="D12" s="5">
        <v>0</v>
      </c>
      <c r="E12" s="5">
        <v>2</v>
      </c>
      <c r="F12" s="5">
        <f t="shared" ref="F12:K12" si="1">F9</f>
        <v>5</v>
      </c>
      <c r="G12" s="5">
        <f t="shared" si="1"/>
        <v>9</v>
      </c>
      <c r="H12" s="5">
        <f t="shared" si="1"/>
        <v>22.349999999999998</v>
      </c>
      <c r="I12" s="5">
        <f t="shared" si="1"/>
        <v>26.82</v>
      </c>
      <c r="J12" s="5">
        <f t="shared" si="1"/>
        <v>31.29</v>
      </c>
      <c r="K12" s="5">
        <f t="shared" si="1"/>
        <v>35.76</v>
      </c>
    </row>
    <row r="13" spans="1:11" x14ac:dyDescent="0.2">
      <c r="A13" s="2"/>
      <c r="F13" s="5"/>
      <c r="G13" s="5"/>
      <c r="H13" s="5"/>
      <c r="I13" s="5"/>
      <c r="J13" s="5"/>
      <c r="K13" s="5"/>
    </row>
    <row r="14" spans="1:11" ht="24" x14ac:dyDescent="0.2">
      <c r="A14" s="2" t="s">
        <v>22</v>
      </c>
      <c r="B14" s="5">
        <v>0.1</v>
      </c>
      <c r="C14" s="5">
        <v>0.1</v>
      </c>
      <c r="D14" s="5">
        <v>0.1</v>
      </c>
      <c r="E14" s="5">
        <v>0.1</v>
      </c>
      <c r="F14" s="5">
        <v>0.1</v>
      </c>
      <c r="G14" s="5">
        <v>0.5</v>
      </c>
      <c r="H14" s="5">
        <v>0.5</v>
      </c>
      <c r="I14" s="5">
        <v>0.5</v>
      </c>
      <c r="J14" s="5">
        <v>0.5</v>
      </c>
      <c r="K14" s="5">
        <v>0.5</v>
      </c>
    </row>
    <row r="15" spans="1:11" x14ac:dyDescent="0.2">
      <c r="A15" s="3"/>
      <c r="B15" s="3"/>
      <c r="C15" s="3"/>
      <c r="D15" s="3"/>
      <c r="E15" s="3"/>
      <c r="F15" s="5"/>
      <c r="G15" s="5"/>
      <c r="H15" s="5"/>
      <c r="I15" s="5"/>
      <c r="J15" s="5"/>
      <c r="K15" s="5"/>
    </row>
    <row r="16" spans="1:11" ht="36" x14ac:dyDescent="0.2">
      <c r="A16" s="4" t="s">
        <v>23</v>
      </c>
      <c r="B16" s="4"/>
      <c r="C16" s="4"/>
      <c r="D16" s="4"/>
      <c r="E16" s="4"/>
      <c r="F16" s="6"/>
      <c r="G16" s="6"/>
      <c r="H16" s="6"/>
      <c r="I16" s="6"/>
      <c r="J16" s="6"/>
      <c r="K16" s="6"/>
    </row>
    <row r="17" spans="1:12" x14ac:dyDescent="0.2">
      <c r="A17" s="3"/>
      <c r="B17" s="3"/>
      <c r="C17" s="3"/>
      <c r="D17" s="3"/>
      <c r="E17" s="3"/>
      <c r="F17" s="5"/>
      <c r="G17" s="5"/>
      <c r="H17" s="5"/>
      <c r="I17" s="5"/>
      <c r="J17" s="5"/>
      <c r="K17" s="5"/>
    </row>
    <row r="18" spans="1:12" ht="36" x14ac:dyDescent="0.2">
      <c r="A18" s="3" t="s">
        <v>24</v>
      </c>
      <c r="B18" s="3"/>
      <c r="C18" s="3"/>
      <c r="D18" s="3"/>
      <c r="E18" s="3"/>
      <c r="F18" s="5">
        <v>2.9</v>
      </c>
      <c r="G18" s="5">
        <v>5.3</v>
      </c>
      <c r="H18" s="5">
        <f>H19*H4</f>
        <v>7.2272727272727266</v>
      </c>
      <c r="I18" s="5">
        <f>I19*I4</f>
        <v>8.672727272727272</v>
      </c>
      <c r="J18" s="5">
        <f>J19*J4</f>
        <v>10.118181818181817</v>
      </c>
      <c r="K18" s="5">
        <f>K19*K4</f>
        <v>11.563636363636363</v>
      </c>
    </row>
    <row r="19" spans="1:12" x14ac:dyDescent="0.2">
      <c r="A19" s="3" t="s">
        <v>25</v>
      </c>
      <c r="B19" s="3"/>
      <c r="C19" s="3"/>
      <c r="D19" s="3"/>
      <c r="E19" s="3"/>
      <c r="F19" s="16">
        <f>F18/F4</f>
        <v>7.774798927613942E-2</v>
      </c>
      <c r="G19" s="16">
        <f>G18/G4</f>
        <v>9.636363636363636E-2</v>
      </c>
      <c r="H19" s="16">
        <f>G19</f>
        <v>9.636363636363636E-2</v>
      </c>
      <c r="I19" s="16">
        <f>H19</f>
        <v>9.636363636363636E-2</v>
      </c>
      <c r="J19" s="16">
        <f>I19</f>
        <v>9.636363636363636E-2</v>
      </c>
      <c r="K19" s="16">
        <f>J19</f>
        <v>9.636363636363636E-2</v>
      </c>
    </row>
    <row r="20" spans="1:12" x14ac:dyDescent="0.2">
      <c r="A20" s="3" t="s">
        <v>26</v>
      </c>
      <c r="B20" s="3"/>
      <c r="C20" s="3"/>
      <c r="D20" s="3"/>
      <c r="E20" s="3"/>
      <c r="F20" s="5">
        <v>0</v>
      </c>
      <c r="G20" s="5">
        <v>0</v>
      </c>
      <c r="H20" s="5">
        <v>0</v>
      </c>
      <c r="I20" s="5">
        <v>3.7</v>
      </c>
      <c r="J20" s="5">
        <v>14.4</v>
      </c>
      <c r="K20" s="5">
        <v>26.1</v>
      </c>
    </row>
    <row r="22" spans="1:12" x14ac:dyDescent="0.2">
      <c r="A22" s="3"/>
      <c r="B22" s="3"/>
      <c r="C22" s="3"/>
      <c r="D22" s="3"/>
      <c r="E22" s="3"/>
      <c r="F22" s="9"/>
    </row>
    <row r="23" spans="1:12" x14ac:dyDescent="0.2">
      <c r="A23" s="3"/>
      <c r="B23" s="3"/>
      <c r="C23" s="3"/>
      <c r="D23" s="3"/>
      <c r="E23" s="3"/>
      <c r="F23" s="9"/>
    </row>
    <row r="24" spans="1:12" ht="24" x14ac:dyDescent="0.2">
      <c r="F24" s="1" t="str">
        <f t="shared" ref="F24:K24" si="2">F3</f>
        <v>2021E</v>
      </c>
      <c r="G24" s="1">
        <f t="shared" si="2"/>
        <v>2022</v>
      </c>
      <c r="H24" s="1">
        <f t="shared" si="2"/>
        <v>2023</v>
      </c>
      <c r="I24" s="1">
        <f t="shared" si="2"/>
        <v>2024</v>
      </c>
      <c r="J24" s="1">
        <f t="shared" si="2"/>
        <v>2025</v>
      </c>
      <c r="K24" s="1">
        <f t="shared" si="2"/>
        <v>2026</v>
      </c>
      <c r="L24" s="1" t="s">
        <v>27</v>
      </c>
    </row>
    <row r="25" spans="1:12" x14ac:dyDescent="0.2">
      <c r="A25" s="3" t="s">
        <v>28</v>
      </c>
      <c r="B25" s="3"/>
      <c r="C25" s="3"/>
      <c r="D25" s="3"/>
      <c r="E25" s="3"/>
      <c r="F25" s="10">
        <f>F9</f>
        <v>5</v>
      </c>
      <c r="G25" s="10">
        <f t="shared" ref="G25:K25" si="3">G9</f>
        <v>9</v>
      </c>
      <c r="H25" s="10">
        <f t="shared" si="3"/>
        <v>22.349999999999998</v>
      </c>
      <c r="I25" s="10">
        <f t="shared" si="3"/>
        <v>26.82</v>
      </c>
      <c r="J25" s="10">
        <f t="shared" si="3"/>
        <v>31.29</v>
      </c>
      <c r="K25" s="10">
        <f t="shared" si="3"/>
        <v>35.76</v>
      </c>
      <c r="L25" s="10">
        <f>K25*(1+F$22)</f>
        <v>35.76</v>
      </c>
    </row>
    <row r="26" spans="1:12" x14ac:dyDescent="0.2">
      <c r="A26" s="8" t="s">
        <v>29</v>
      </c>
      <c r="B26" s="8"/>
      <c r="C26" s="8"/>
      <c r="D26" s="8"/>
      <c r="E26" s="8"/>
      <c r="F26" s="10"/>
      <c r="G26" s="10">
        <f t="shared" ref="G26:L26" si="4">G25*0.4</f>
        <v>3.6</v>
      </c>
      <c r="H26" s="10">
        <f t="shared" si="4"/>
        <v>8.94</v>
      </c>
      <c r="I26" s="10">
        <f t="shared" si="4"/>
        <v>10.728000000000002</v>
      </c>
      <c r="J26" s="10">
        <f t="shared" si="4"/>
        <v>12.516</v>
      </c>
      <c r="K26" s="10">
        <f t="shared" si="4"/>
        <v>14.304</v>
      </c>
      <c r="L26" s="10">
        <f t="shared" si="4"/>
        <v>14.304</v>
      </c>
    </row>
    <row r="27" spans="1:12" x14ac:dyDescent="0.2">
      <c r="A27" s="8" t="s">
        <v>30</v>
      </c>
      <c r="B27" s="8"/>
      <c r="C27" s="8"/>
      <c r="D27" s="8"/>
      <c r="E27" s="8"/>
      <c r="G27" s="10">
        <f>G14</f>
        <v>0.5</v>
      </c>
      <c r="H27" s="10">
        <f>H14</f>
        <v>0.5</v>
      </c>
      <c r="I27" s="10">
        <f>I14</f>
        <v>0.5</v>
      </c>
      <c r="J27" s="10">
        <f>J14</f>
        <v>0.5</v>
      </c>
      <c r="K27" s="10">
        <f>K14</f>
        <v>0.5</v>
      </c>
      <c r="L27" s="10">
        <f>K27*(1+F$22)</f>
        <v>0.5</v>
      </c>
    </row>
    <row r="28" spans="1:12" x14ac:dyDescent="0.2">
      <c r="A28" s="7" t="s">
        <v>31</v>
      </c>
      <c r="B28" s="7"/>
      <c r="C28" s="7"/>
      <c r="D28" s="7"/>
      <c r="E28" s="7"/>
      <c r="G28" s="10">
        <f>G18-F18</f>
        <v>2.4</v>
      </c>
      <c r="H28" s="10">
        <f>H18-G18</f>
        <v>1.9272727272727268</v>
      </c>
      <c r="I28" s="10">
        <f>I18-H18</f>
        <v>1.4454545454545453</v>
      </c>
      <c r="J28" s="10">
        <f>J18-I18</f>
        <v>1.4454545454545453</v>
      </c>
      <c r="K28" s="10">
        <f>K18-J18</f>
        <v>1.4454545454545453</v>
      </c>
      <c r="L28" s="10">
        <f>K28*F22/(K25/J25)</f>
        <v>0</v>
      </c>
    </row>
    <row r="29" spans="1:12" x14ac:dyDescent="0.2">
      <c r="A29" s="7" t="s">
        <v>32</v>
      </c>
      <c r="B29" s="7"/>
      <c r="C29" s="7"/>
      <c r="D29" s="7"/>
      <c r="E29" s="7"/>
      <c r="G29" s="10">
        <f t="shared" ref="G29:L29" si="5">G25-G26-G27-G28</f>
        <v>2.5000000000000004</v>
      </c>
      <c r="H29" s="10">
        <f t="shared" si="5"/>
        <v>10.982727272727271</v>
      </c>
      <c r="I29" s="10">
        <f t="shared" si="5"/>
        <v>14.146545454545453</v>
      </c>
      <c r="J29" s="10">
        <f t="shared" si="5"/>
        <v>16.828545454545456</v>
      </c>
      <c r="K29" s="10">
        <f t="shared" si="5"/>
        <v>19.510545454545451</v>
      </c>
      <c r="L29" s="10">
        <f t="shared" si="5"/>
        <v>20.955999999999996</v>
      </c>
    </row>
    <row r="30" spans="1:12" x14ac:dyDescent="0.2">
      <c r="A30" s="13" t="s">
        <v>33</v>
      </c>
      <c r="E30">
        <v>12</v>
      </c>
      <c r="K30" s="20">
        <f>E30*K29</f>
        <v>234.12654545454541</v>
      </c>
    </row>
    <row r="32" spans="1:12" x14ac:dyDescent="0.2">
      <c r="A32" s="38" t="s">
        <v>34</v>
      </c>
      <c r="B32" s="39"/>
      <c r="C32" s="39"/>
      <c r="D32" s="39"/>
      <c r="E32" s="27"/>
      <c r="F32" s="28">
        <f>'Cost of Capital'!B10</f>
        <v>0.12807303370786516</v>
      </c>
      <c r="K32" s="10"/>
    </row>
    <row r="33" spans="1:11" x14ac:dyDescent="0.2">
      <c r="A33" s="38" t="s">
        <v>35</v>
      </c>
      <c r="B33" s="39"/>
      <c r="C33" s="39"/>
      <c r="D33" s="39"/>
      <c r="E33" s="27"/>
      <c r="F33" s="28">
        <f>F32*1.2</f>
        <v>0.1536876404494382</v>
      </c>
    </row>
    <row r="34" spans="1:11" x14ac:dyDescent="0.2">
      <c r="K34" s="10"/>
    </row>
    <row r="35" spans="1:11" x14ac:dyDescent="0.2">
      <c r="A35" s="26" t="s">
        <v>36</v>
      </c>
      <c r="F35" s="10">
        <f>NPV(F33,G29,H29,I29,J29,K29+K30)</f>
        <v>153.23043508940791</v>
      </c>
    </row>
    <row r="36" spans="1:11" x14ac:dyDescent="0.2">
      <c r="A36" s="7" t="s">
        <v>37</v>
      </c>
      <c r="B36" s="7"/>
      <c r="C36" s="7"/>
      <c r="D36" s="7"/>
      <c r="E36" s="7"/>
      <c r="F36" s="10">
        <v>0</v>
      </c>
    </row>
    <row r="37" spans="1:11" x14ac:dyDescent="0.2">
      <c r="A37" s="7" t="s">
        <v>38</v>
      </c>
      <c r="B37" s="7"/>
      <c r="C37" s="7"/>
      <c r="D37" s="7"/>
      <c r="E37" s="7"/>
      <c r="F37" s="10">
        <v>1.2</v>
      </c>
      <c r="G37" t="s">
        <v>39</v>
      </c>
    </row>
    <row r="38" spans="1:11" x14ac:dyDescent="0.2">
      <c r="A38" s="25" t="s">
        <v>40</v>
      </c>
      <c r="B38" s="7"/>
      <c r="C38" s="7"/>
      <c r="D38" s="7"/>
      <c r="E38" s="7"/>
      <c r="F38" s="10">
        <f>F35-F36+F37</f>
        <v>154.43043508940789</v>
      </c>
    </row>
    <row r="39" spans="1:11" x14ac:dyDescent="0.2">
      <c r="A39" s="3"/>
      <c r="B39" s="3"/>
      <c r="C39" s="3"/>
      <c r="D39" s="3"/>
      <c r="E39" s="3"/>
      <c r="F39" s="11"/>
    </row>
    <row r="40" spans="1:11" x14ac:dyDescent="0.2">
      <c r="A40" s="13" t="s">
        <v>41</v>
      </c>
      <c r="B40" s="13"/>
      <c r="C40" s="13"/>
      <c r="D40" s="13"/>
      <c r="E40" s="13"/>
      <c r="F40" s="13">
        <v>25</v>
      </c>
    </row>
    <row r="41" spans="1:11" x14ac:dyDescent="0.2">
      <c r="A41" s="13" t="s">
        <v>42</v>
      </c>
      <c r="B41" s="13"/>
      <c r="C41" s="13"/>
      <c r="D41" s="13"/>
      <c r="E41" s="13"/>
      <c r="F41" s="13"/>
    </row>
    <row r="42" spans="1:11" x14ac:dyDescent="0.2">
      <c r="A42" s="13" t="s">
        <v>43</v>
      </c>
      <c r="B42" s="13"/>
      <c r="C42" s="13"/>
      <c r="D42" s="13"/>
      <c r="E42" s="13"/>
    </row>
    <row r="43" spans="1:11" x14ac:dyDescent="0.2">
      <c r="A43" t="s">
        <v>44</v>
      </c>
      <c r="F43" s="20">
        <f>F38+F40</f>
        <v>179.43043508940789</v>
      </c>
    </row>
    <row r="45" spans="1:11" x14ac:dyDescent="0.2">
      <c r="D45" t="s">
        <v>45</v>
      </c>
      <c r="F45" s="21">
        <f>F40/F43</f>
        <v>0.13932976302232572</v>
      </c>
    </row>
    <row r="46" spans="1:11" x14ac:dyDescent="0.2">
      <c r="D46" s="26"/>
    </row>
    <row r="48" spans="1:11" x14ac:dyDescent="0.2">
      <c r="G48" s="13"/>
    </row>
    <row r="49" spans="2:9" x14ac:dyDescent="0.2">
      <c r="B49" s="13" t="s">
        <v>46</v>
      </c>
      <c r="G49" s="13" t="s">
        <v>47</v>
      </c>
      <c r="I49" s="13"/>
    </row>
    <row r="50" spans="2:9" x14ac:dyDescent="0.2">
      <c r="G50" s="13" t="s">
        <v>48</v>
      </c>
      <c r="I50" s="13"/>
    </row>
    <row r="51" spans="2:9" x14ac:dyDescent="0.2">
      <c r="G51" s="13"/>
      <c r="I51" s="13"/>
    </row>
    <row r="52" spans="2:9" x14ac:dyDescent="0.2">
      <c r="E52" s="9"/>
      <c r="F52" s="23"/>
      <c r="G52" s="21"/>
    </row>
    <row r="53" spans="2:9" x14ac:dyDescent="0.2">
      <c r="E53" s="9">
        <v>0.15</v>
      </c>
      <c r="F53" s="23">
        <f>NPV(E53,G$29,H$29,I$29,J$29,K$29+K$30) + F$37 +$F$40</f>
        <v>181.70425228058289</v>
      </c>
      <c r="G53" s="21">
        <f>F$40/F53</f>
        <v>0.13758621323509623</v>
      </c>
      <c r="I53" s="24"/>
    </row>
    <row r="54" spans="2:9" x14ac:dyDescent="0.2">
      <c r="E54" s="9">
        <v>0.2</v>
      </c>
      <c r="F54" s="23">
        <f>NPV(E54,G$29,H$29,I$29,J$29,K$29+K$30) + F$37 +$F$40</f>
        <v>154.14356177515899</v>
      </c>
      <c r="G54" s="21">
        <f>F$40/F54</f>
        <v>0.16218646897796593</v>
      </c>
      <c r="I54" s="24"/>
    </row>
    <row r="55" spans="2:9" x14ac:dyDescent="0.2">
      <c r="E55" s="9">
        <v>0.25</v>
      </c>
      <c r="F55" s="23">
        <f>NPV(E55,G$29,H$29,I$29,J$29,K$29+K$30) + F$37 +$F$40</f>
        <v>132.47675089454543</v>
      </c>
      <c r="G55" s="21">
        <f>F$40/F55</f>
        <v>0.18871235768682598</v>
      </c>
      <c r="I55" s="24"/>
    </row>
    <row r="56" spans="2:9" x14ac:dyDescent="0.2">
      <c r="E56" s="9">
        <v>0.3</v>
      </c>
      <c r="F56" s="23">
        <f>NPV(E56,G$29,H$29,I$29,J$29,K$29+K$30) + F$37 +$F$40</f>
        <v>115.26474499555971</v>
      </c>
      <c r="G56" s="21">
        <f>F$40/F56</f>
        <v>0.21689199070334181</v>
      </c>
    </row>
    <row r="58" spans="2:9" x14ac:dyDescent="0.2">
      <c r="B58" s="26"/>
    </row>
  </sheetData>
  <mergeCells count="3">
    <mergeCell ref="A8:D8"/>
    <mergeCell ref="A32:D32"/>
    <mergeCell ref="A33:D33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AF65F3645CB84989A87C1DB767E921" ma:contentTypeVersion="4" ma:contentTypeDescription="Create a new document." ma:contentTypeScope="" ma:versionID="f79012c765d0428270b809e3c34ba3d3">
  <xsd:schema xmlns:xsd="http://www.w3.org/2001/XMLSchema" xmlns:xs="http://www.w3.org/2001/XMLSchema" xmlns:p="http://schemas.microsoft.com/office/2006/metadata/properties" xmlns:ns2="b21745bd-9c6e-48f0-a217-cbf819078ee3" xmlns:ns3="e9992c7c-5d8d-4eb5-b61e-4d51f5be2637" targetNamespace="http://schemas.microsoft.com/office/2006/metadata/properties" ma:root="true" ma:fieldsID="8173875f10de2f2124f742eaf26e4ea7" ns2:_="" ns3:_="">
    <xsd:import namespace="b21745bd-9c6e-48f0-a217-cbf819078ee3"/>
    <xsd:import namespace="e9992c7c-5d8d-4eb5-b61e-4d51f5be26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745bd-9c6e-48f0-a217-cbf819078e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992c7c-5d8d-4eb5-b61e-4d51f5be263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771C4C-A150-4CF6-A38E-627044E4B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1745bd-9c6e-48f0-a217-cbf819078ee3"/>
    <ds:schemaRef ds:uri="e9992c7c-5d8d-4eb5-b61e-4d51f5be26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79CD35-3C4F-4DB3-83B3-EFF8DF9E15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6F5D32-4D75-44B2-A4A0-9DAD35D5DFBB}">
  <ds:schemaRefs>
    <ds:schemaRef ds:uri="http://purl.org/dc/terms/"/>
    <ds:schemaRef ds:uri="b21745bd-9c6e-48f0-a217-cbf819078ee3"/>
    <ds:schemaRef ds:uri="e9992c7c-5d8d-4eb5-b61e-4d51f5be2637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Cost of Capital</vt:lpstr>
      <vt:lpstr>P97</vt:lpstr>
      <vt:lpstr>P97 (2)</vt:lpstr>
      <vt:lpstr>CASE INFO</vt:lpstr>
      <vt:lpstr>FCF Analysis</vt:lpstr>
    </vt:vector>
  </TitlesOfParts>
  <Manager/>
  <Company>Harvard Business School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Hbsuser</dc:creator>
  <cp:keywords/>
  <dc:description/>
  <cp:lastModifiedBy>Emma McLaughlin</cp:lastModifiedBy>
  <cp:revision/>
  <dcterms:created xsi:type="dcterms:W3CDTF">2002-02-21T14:10:48Z</dcterms:created>
  <dcterms:modified xsi:type="dcterms:W3CDTF">2022-10-18T11:39:53Z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0x010100B4AF65F3645CB84989A87C1DB767E921</vt:lpwstr>
  </property>
</Properties>
</file>